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390" windowHeight="10950" tabRatio="739" firstSheet="1" activeTab="1"/>
  </bookViews>
  <sheets>
    <sheet name="RESUMEN" sheetId="1" state="hidden" r:id="rId1"/>
    <sheet name="VIGENCIA 2023" sheetId="2" r:id="rId2"/>
    <sheet name="CRUCE PARA INFORME GESTION" sheetId="3" state="hidden" r:id="rId3"/>
    <sheet name="F.08 A JUNIO" sheetId="4" state="hidden" r:id="rId4"/>
    <sheet name="PRESTACION DE SERVICIOS" sheetId="5" state="hidden" r:id="rId5"/>
    <sheet name="JUSTF VIAT FUNC" sheetId="6" state="hidden" r:id="rId6"/>
    <sheet name="JUSTIFICACIÓN VIAT RECAUDO" sheetId="7" state="hidden" r:id="rId7"/>
    <sheet name="JUSTIF VIAT ITPA" sheetId="8" state="hidden" r:id="rId8"/>
    <sheet name="JUST VIAT MG" sheetId="9" state="hidden" r:id="rId9"/>
    <sheet name="SEMINARIO INTERNACIONAL" sheetId="10" state="hidden" r:id="rId10"/>
    <sheet name="JUST VIA ECONOMICO" sheetId="11" state="hidden" r:id="rId11"/>
    <sheet name="JUSTIF VIAT CONSUMO" sheetId="12" state="hidden" r:id="rId12"/>
    <sheet name="JUSTIF VIAT DIVULGACION" sheetId="13" state="hidden" r:id="rId13"/>
    <sheet name="PLAN ESTRATEGICO" sheetId="14" state="hidden" r:id="rId14"/>
    <sheet name="JUST VIA ASOCIATIVIDAD " sheetId="15" state="hidden" r:id="rId15"/>
  </sheets>
  <externalReferences>
    <externalReference r:id="rId18"/>
    <externalReference r:id="rId19"/>
    <externalReference r:id="rId20"/>
    <externalReference r:id="rId21"/>
    <externalReference r:id="rId22"/>
  </externalReferences>
  <definedNames>
    <definedName name="_xlnm._FilterDatabase" localSheetId="0" hidden="1">'RESUMEN'!$B$8:$H$115</definedName>
    <definedName name="_xlnm._FilterDatabase" localSheetId="9" hidden="1">'SEMINARIO INTERNACIONAL'!$B$5:$F$21</definedName>
    <definedName name="_xlfn._FV" hidden="1">#NAME?</definedName>
    <definedName name="_xlfn.SUMIFS" hidden="1">#NAME?</definedName>
    <definedName name="_xlnm.Print_Area" localSheetId="6">'JUSTIFICACIÓN VIAT RECAUDO'!$A$1:$D$34</definedName>
    <definedName name="data" localSheetId="14">#REF!</definedName>
    <definedName name="data" localSheetId="10">#REF!</definedName>
    <definedName name="data" localSheetId="8">#REF!</definedName>
    <definedName name="data" localSheetId="5">#REF!</definedName>
    <definedName name="data" localSheetId="11">#REF!</definedName>
    <definedName name="data" localSheetId="7">#REF!</definedName>
    <definedName name="data" localSheetId="6">#REF!</definedName>
    <definedName name="data" localSheetId="4">#REF!</definedName>
    <definedName name="data" localSheetId="0">#REF!</definedName>
    <definedName name="data" localSheetId="9">#REF!</definedName>
    <definedName name="data">#REF!</definedName>
    <definedName name="Estres" localSheetId="14">#REF!</definedName>
    <definedName name="Estres" localSheetId="10">#REF!</definedName>
    <definedName name="Estres" localSheetId="8">#REF!</definedName>
    <definedName name="Estres" localSheetId="6">#REF!</definedName>
    <definedName name="Estres" localSheetId="0">#REF!</definedName>
    <definedName name="Estres" localSheetId="9">#REF!</definedName>
    <definedName name="Estres">#REF!</definedName>
    <definedName name="FECFIN" localSheetId="14">#REF!</definedName>
    <definedName name="FECFIN" localSheetId="10">#REF!</definedName>
    <definedName name="FECFIN" localSheetId="8">#REF!</definedName>
    <definedName name="FECFIN" localSheetId="5">#REF!</definedName>
    <definedName name="FECFIN" localSheetId="11">#REF!</definedName>
    <definedName name="FECFIN" localSheetId="7">#REF!</definedName>
    <definedName name="FECFIN" localSheetId="6">#REF!</definedName>
    <definedName name="FECFIN" localSheetId="4">#REF!</definedName>
    <definedName name="FECFIN" localSheetId="0">#REF!</definedName>
    <definedName name="FECFIN" localSheetId="9">#REF!</definedName>
    <definedName name="FECFIN">#REF!</definedName>
    <definedName name="FECHAF" localSheetId="14">#REF!</definedName>
    <definedName name="FECHAF" localSheetId="10">#REF!</definedName>
    <definedName name="FECHAF" localSheetId="8">#REF!</definedName>
    <definedName name="FECHAF" localSheetId="5">#REF!</definedName>
    <definedName name="FECHAF" localSheetId="11">#REF!</definedName>
    <definedName name="FECHAF" localSheetId="7">#REF!</definedName>
    <definedName name="FECHAF" localSheetId="6">#REF!</definedName>
    <definedName name="FECHAF" localSheetId="4">#REF!</definedName>
    <definedName name="FECHAF" localSheetId="0">#REF!</definedName>
    <definedName name="FECHAF" localSheetId="9">#REF!</definedName>
    <definedName name="FECHAF">#REF!</definedName>
    <definedName name="FECHAFIN" localSheetId="0">'[1]RECAUDO OK'!$M$59</definedName>
    <definedName name="FECHAFIN">'[2]RECAUDO OK'!$M$59</definedName>
    <definedName name="FECHAI" localSheetId="14">#REF!</definedName>
    <definedName name="FECHAI" localSheetId="10">#REF!</definedName>
    <definedName name="FECHAI" localSheetId="8">#REF!</definedName>
    <definedName name="FECHAI" localSheetId="5">#REF!</definedName>
    <definedName name="FECHAI" localSheetId="11">#REF!</definedName>
    <definedName name="FECHAI" localSheetId="7">#REF!</definedName>
    <definedName name="FECHAI" localSheetId="6">#REF!</definedName>
    <definedName name="FECHAI" localSheetId="4">#REF!</definedName>
    <definedName name="FECHAI" localSheetId="0">#REF!</definedName>
    <definedName name="FECHAI" localSheetId="9">#REF!</definedName>
    <definedName name="FECHAI">#REF!</definedName>
    <definedName name="FECHAINI" localSheetId="0">'[1]RECAUDO OK'!$M$58</definedName>
    <definedName name="FECHAINI">'[2]RECAUDO OK'!$M$58</definedName>
    <definedName name="FECINI" localSheetId="14">#REF!</definedName>
    <definedName name="FECINI" localSheetId="10">#REF!</definedName>
    <definedName name="FECINI" localSheetId="8">#REF!</definedName>
    <definedName name="FECINI" localSheetId="5">#REF!</definedName>
    <definedName name="FECINI" localSheetId="11">#REF!</definedName>
    <definedName name="FECINI" localSheetId="7">#REF!</definedName>
    <definedName name="FECINI" localSheetId="6">#REF!</definedName>
    <definedName name="FECINI" localSheetId="4">#REF!</definedName>
    <definedName name="FECINI" localSheetId="0">#REF!</definedName>
    <definedName name="FECINI" localSheetId="9">#REF!</definedName>
    <definedName name="FECINI">#REF!</definedName>
    <definedName name="FECINIC" localSheetId="14">#REF!</definedName>
    <definedName name="FECINIC" localSheetId="10">#REF!</definedName>
    <definedName name="FECINIC" localSheetId="8">#REF!</definedName>
    <definedName name="FECINIC" localSheetId="5">#REF!</definedName>
    <definedName name="FECINIC" localSheetId="11">#REF!</definedName>
    <definedName name="FECINIC" localSheetId="7">#REF!</definedName>
    <definedName name="FECINIC" localSheetId="6">#REF!</definedName>
    <definedName name="FECINIC" localSheetId="4">#REF!</definedName>
    <definedName name="FECINIC" localSheetId="0">#REF!</definedName>
    <definedName name="FECINIC" localSheetId="9">#REF!</definedName>
    <definedName name="FECINIC">#REF!</definedName>
    <definedName name="FEFIN" localSheetId="14">'[2]RECAUDO OK'!#REF!</definedName>
    <definedName name="FEFIN" localSheetId="10">'[2]RECAUDO OK'!#REF!</definedName>
    <definedName name="FEFIN" localSheetId="8">'[2]RECAUDO OK'!#REF!</definedName>
    <definedName name="FEFIN" localSheetId="5">'[2]RECAUDO OK'!#REF!</definedName>
    <definedName name="FEFIN" localSheetId="6">'[2]RECAUDO OK'!#REF!</definedName>
    <definedName name="FEFIN" localSheetId="4">'[2]RECAUDO OK'!#REF!</definedName>
    <definedName name="FEFIN" localSheetId="0">'[1]RECAUDO OK'!#REF!</definedName>
    <definedName name="FEFIN" localSheetId="9">'[2]RECAUDO OK'!#REF!</definedName>
    <definedName name="FEFIN">'[2]RECAUDO OK'!#REF!</definedName>
  </definedNames>
  <calcPr fullCalcOnLoad="1"/>
</workbook>
</file>

<file path=xl/sharedStrings.xml><?xml version="1.0" encoding="utf-8"?>
<sst xmlns="http://schemas.openxmlformats.org/spreadsheetml/2006/main" count="1207" uniqueCount="471">
  <si>
    <t>RECAUDO</t>
  </si>
  <si>
    <t>FUNCIONAMIENTO</t>
  </si>
  <si>
    <t>TOTAL</t>
  </si>
  <si>
    <t>Correo</t>
  </si>
  <si>
    <t>Viáticos y Gastos de viaje</t>
  </si>
  <si>
    <t>Capacitación y divulgación</t>
  </si>
  <si>
    <t xml:space="preserve">Materiales y suministros </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</si>
  <si>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</si>
  <si>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</si>
  <si>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</si>
  <si>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</si>
  <si>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</si>
  <si>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</si>
  <si>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</si>
  <si>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</si>
  <si>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APROP</t>
  </si>
  <si>
    <t>MODIF.</t>
  </si>
  <si>
    <t>TRASLADO</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</si>
  <si>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</si>
  <si>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</si>
  <si>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</si>
  <si>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</si>
  <si>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</si>
  <si>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</si>
  <si>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</si>
  <si>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</si>
  <si>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</si>
  <si>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</si>
  <si>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</si>
  <si>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</si>
  <si>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</si>
  <si>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</si>
  <si>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</si>
  <si>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</si>
  <si>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</si>
  <si>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Aportes ICBF y SENA</t>
  </si>
  <si>
    <t>Dotaciones</t>
  </si>
  <si>
    <t>Servicios públicos</t>
  </si>
  <si>
    <t>Impresos y publicaciones</t>
  </si>
  <si>
    <t>Transportes fletes y acarreos</t>
  </si>
  <si>
    <t>Comisiones y gastos bancarios</t>
  </si>
  <si>
    <t xml:space="preserve">Arriendos </t>
  </si>
  <si>
    <t>Gastos Junta Directiva</t>
  </si>
  <si>
    <t xml:space="preserve">Contraprestación </t>
  </si>
  <si>
    <t>ESTUDIOS Y PROYECTOS</t>
  </si>
  <si>
    <t>RESERVA PROY. INV. Y GT.</t>
  </si>
  <si>
    <t>TOTAL PRESUPUESTO</t>
  </si>
  <si>
    <t>Cifra de control</t>
  </si>
  <si>
    <t>VALOR</t>
  </si>
  <si>
    <t>Auxilio de Transporte</t>
  </si>
  <si>
    <t xml:space="preserve">VARIACION % </t>
  </si>
  <si>
    <t xml:space="preserve">Compra base de datos </t>
  </si>
  <si>
    <t>Transferencia de tecnología</t>
  </si>
  <si>
    <t>Superávit Vigencias anteriores</t>
  </si>
  <si>
    <t>CANTIDAD</t>
  </si>
  <si>
    <t>MATERIALES Y SUMINISTROS</t>
  </si>
  <si>
    <t>Tiquetes aéreos</t>
  </si>
  <si>
    <t>Viáticos</t>
  </si>
  <si>
    <t>Honorarios auditoria</t>
  </si>
  <si>
    <t>PROGRAMA</t>
  </si>
  <si>
    <t>Tiquetes</t>
  </si>
  <si>
    <t>PRESUP</t>
  </si>
  <si>
    <t>PRESUP DEF</t>
  </si>
  <si>
    <t>VARIACIÓN</t>
  </si>
  <si>
    <t>JUSTIFICACIÓN</t>
  </si>
  <si>
    <t>VLR UNITARIO</t>
  </si>
  <si>
    <t xml:space="preserve">JUSTIFICACIÓN </t>
  </si>
  <si>
    <t>UND MEDIDA</t>
  </si>
  <si>
    <t>Meses</t>
  </si>
  <si>
    <t>Cuota de Fomento vigencias anteriores</t>
  </si>
  <si>
    <t>ÍTEM</t>
  </si>
  <si>
    <t>DESCRIPCIÓN</t>
  </si>
  <si>
    <t>ATL</t>
  </si>
  <si>
    <t>BTL</t>
  </si>
  <si>
    <t>Digital</t>
  </si>
  <si>
    <t>ZONA 2</t>
  </si>
  <si>
    <t>ZONA 3</t>
  </si>
  <si>
    <t>ZONA 4</t>
  </si>
  <si>
    <t>ZONA 5</t>
  </si>
  <si>
    <t>ZONA 6</t>
  </si>
  <si>
    <t>Honorarios normas internacionales</t>
  </si>
  <si>
    <t>ZONA 1</t>
  </si>
  <si>
    <t>VLR TOTAL 2019</t>
  </si>
  <si>
    <t>Honorarios jurídico</t>
  </si>
  <si>
    <t>Valor por año</t>
  </si>
  <si>
    <t xml:space="preserve">Viáticos </t>
  </si>
  <si>
    <t>Honorarios chef</t>
  </si>
  <si>
    <t>Semillas (Básicas, Registradas, certificada o de calidad declarada)</t>
  </si>
  <si>
    <t>Análisis de suelo</t>
  </si>
  <si>
    <t>Mantenimiento</t>
  </si>
  <si>
    <t>Seguros, impuestos y gastos legales</t>
  </si>
  <si>
    <t>ITPA</t>
  </si>
  <si>
    <t>ZONA 7</t>
  </si>
  <si>
    <t>ZONA 8</t>
  </si>
  <si>
    <t>Honorarios extensionistas OPS</t>
  </si>
  <si>
    <t>Se requiere la contratación de 24 extensionistas por OPS durante 45 días, para la consecución de los productores beneficiarios del proyecto contribuyentes de la cuota de fomento.</t>
  </si>
  <si>
    <t>Se requiere el pago servicios profesionales de Auditoria Interna por 12 meses. Presentándose un incremento del 3,5% del IPC proyectado para la vigencia 2019. A partir del segundo trimestre de la vigencia 2018 se presenta el cambio de auditoria.</t>
  </si>
  <si>
    <t>Se requieren dar continuidad al proceso de representación judicial frente a la acción de rendición de cuentas adelanta ante Asohofrucol para el traslado de recursos pendiente por parte de esta entidad al FNFP. Presenta una disminución del 25% teniendo en cuenta la forma de pago pactada en el contrato de prestación de servicios.</t>
  </si>
  <si>
    <t>MERCADEO</t>
  </si>
  <si>
    <t xml:space="preserve">Honorario de construcción de prototipo </t>
  </si>
  <si>
    <t>Se requiere  la  realización de un convenio con la Universidad de los Andes para el diseño e implementación de un prototipo automatizado para la extracción de almidón a partir de papa Diacol Capiro de descarte y evaluación de la factibilidad de una escalabilidad futura. Este proyecto no se contemplaba en la vigencia anterior.</t>
  </si>
  <si>
    <t>PROYECTO</t>
  </si>
  <si>
    <t>CAMPAÑA DE CONSUMO</t>
  </si>
  <si>
    <t>PROTOTIPO</t>
  </si>
  <si>
    <t>convenio</t>
  </si>
  <si>
    <t>CARGO</t>
  </si>
  <si>
    <t>RUBRO</t>
  </si>
  <si>
    <t>OBSERVACIÓN</t>
  </si>
  <si>
    <t>Tiquete</t>
  </si>
  <si>
    <t>VALOR UNITARIO</t>
  </si>
  <si>
    <t>TOTAL PRESTACION DE SERVICIOS</t>
  </si>
  <si>
    <t>CUOTA DE ADMINISTRACIÓN</t>
  </si>
  <si>
    <t>INVERSIÓN:</t>
  </si>
  <si>
    <t>Campaña de promoción al consumo</t>
  </si>
  <si>
    <t>TOTAL INVERSIÓN Y FUNCIONAMIENTO</t>
  </si>
  <si>
    <t>PRESTACIÓN DE SERVICIOS VIGENCIA 2019</t>
  </si>
  <si>
    <t xml:space="preserve">Se requiere contar con la asesoría durante la transición e implementación de normas internacionales en fondos parafiscales. </t>
  </si>
  <si>
    <t>INVESTIGACIÓN Y TRANSFERENCIA DE TECNOLOGÍA</t>
  </si>
  <si>
    <t>24 Extensionistas X 45 días</t>
  </si>
  <si>
    <t>días</t>
  </si>
  <si>
    <t>Honorarios chef especialista en papa, con el fin de realizar shows gastronómicos y preparaciones en papa. Se requiere contar con este experto durante la feria de Agroexpo por 11 días.</t>
  </si>
  <si>
    <t>Equipo de campo</t>
  </si>
  <si>
    <t xml:space="preserve">Análisis microbiológicos  </t>
  </si>
  <si>
    <t>Alquiler de dron para fumigacion</t>
  </si>
  <si>
    <t>Estudios</t>
  </si>
  <si>
    <t>Muebles y equipo de oficina</t>
  </si>
  <si>
    <t>Alquiler de dron para imágenes multiespectrales</t>
  </si>
  <si>
    <t xml:space="preserve">Diagnostico de muestras </t>
  </si>
  <si>
    <t>AUDITORIA INTERNA CONTROL Y SUPERVISION DE INVERSION DEL FNFP</t>
  </si>
  <si>
    <t>Reactivos</t>
  </si>
  <si>
    <t>Insumos agrícolas lotes de pruebas</t>
  </si>
  <si>
    <t xml:space="preserve">Pruebas de evaluación agronómica </t>
  </si>
  <si>
    <t xml:space="preserve">Limpieza de material vegetal y propagación de mini tubérculos </t>
  </si>
  <si>
    <t>DIRECTOR</t>
  </si>
  <si>
    <t>Adecuaciones invernaderos</t>
  </si>
  <si>
    <t>VLR TOTAL 2021</t>
  </si>
  <si>
    <t>AÑO 2021</t>
  </si>
  <si>
    <t>ASISTENCIA MIEMBROS A JUNTA DIRECTIVA</t>
  </si>
  <si>
    <t>ITEM</t>
  </si>
  <si>
    <t>DIVULGACION</t>
  </si>
  <si>
    <t>Minituberculos</t>
  </si>
  <si>
    <t>Insumos agrícolas</t>
  </si>
  <si>
    <t>Suelo negro</t>
  </si>
  <si>
    <t>Análisis foliares</t>
  </si>
  <si>
    <t>Reactivos Biología Molecular</t>
  </si>
  <si>
    <t>Secuenciacion de RNA</t>
  </si>
  <si>
    <t>VLR TOTAL 2022</t>
  </si>
  <si>
    <t>PRESUPUESTO DE VIÁTICOS Y GASTOS DE VIAJE PARA FUNCIONAMIENTO 2022</t>
  </si>
  <si>
    <t>VIÁTICOS Y GASTOS DE VIAJE</t>
  </si>
  <si>
    <t>Viáticos y Transporte</t>
  </si>
  <si>
    <t>N/A</t>
  </si>
  <si>
    <t>6 viajes recorrido por Boyacá. 4,5 días c/u</t>
  </si>
  <si>
    <t>2 viajes a Caldas. 11,5 días c/u
2 viajes a Risaralda. 11,5 días c/u
2 viajes a Quindio. 11,5 días c/u</t>
  </si>
  <si>
    <t>6 viajes recorrido por Antioquia. 4,5 días c/u</t>
  </si>
  <si>
    <t>6 viajes recorrido por C/marca. 4,5 días c/u</t>
  </si>
  <si>
    <t>2 viajes a N. Santander. 4,5 días c/u
2 viajes recorrido por Santander. 4,5 días c/u</t>
  </si>
  <si>
    <t>6 viajes a Cauca. 4,5 días c/u
6 viajes recorrido por Nariño 4,5 días c/u</t>
  </si>
  <si>
    <t>ZONA 9</t>
  </si>
  <si>
    <t>3 viajes a Meta y Casanare. 11,5 días c/u
2 viajes a Huila. 4,5 días c/u</t>
  </si>
  <si>
    <t>ZONA 10</t>
  </si>
  <si>
    <t>2 viajes a Santa Marta y Valledupar. 11,5 días c/u
2 viajes a Cartagena y B/quilla. 11,5 días c/u
2 viajes a Córdoba y Sucre. 9,5 días</t>
  </si>
  <si>
    <t>PROFESIONAL</t>
  </si>
  <si>
    <t>7 viajes. 4,5 días c/u</t>
  </si>
  <si>
    <t>Cargo</t>
  </si>
  <si>
    <t>Vlr Viáticos diario</t>
  </si>
  <si>
    <t>Asesor de Recaudo</t>
  </si>
  <si>
    <t>Profesional de Recaudo</t>
  </si>
  <si>
    <t>Director de Recaudo</t>
  </si>
  <si>
    <t>Tiquete A</t>
  </si>
  <si>
    <t xml:space="preserve">
BGP AUDIT SAS
LIDER: ALEXANDRA PEDREROS
AUDITOR PLANTA: ANDRES GARZON</t>
  </si>
  <si>
    <t>MIEMBROS 
JUNTA DIRECTIVA
NARIÑO: LUIS FELIPE ALVARADO
BOYACA: FIDEL SALAZAR
CUNDINAMARCA: CAMILO PRIETO
ANTIOQUIA: SERGIO MARTINEZ</t>
  </si>
  <si>
    <t xml:space="preserve">Trampas Tecia solanivora (feromonas e implementos)  </t>
  </si>
  <si>
    <t>PRESUPUESTO DE VIÁTICOS Y GASTOS DE VIAJE PARA ITPA 2021</t>
  </si>
  <si>
    <t>CONCEPTO</t>
  </si>
  <si>
    <t>UNIDAD</t>
  </si>
  <si>
    <t xml:space="preserve">Se requiere el pago de 15 viáticos por concepto de control del proyecto, actividades e indicadores en las diferentes zonas de ejecución durante la vigencia. </t>
  </si>
  <si>
    <t xml:space="preserve">CRONOGRAMA DE VIAJES </t>
  </si>
  <si>
    <t>Departamento</t>
  </si>
  <si>
    <t xml:space="preserve">Fecha </t>
  </si>
  <si>
    <t>No. Viajes</t>
  </si>
  <si>
    <t xml:space="preserve">Director Técnico y/o coordinadores </t>
  </si>
  <si>
    <t>Nariño*</t>
  </si>
  <si>
    <t>II y IV trimestre</t>
  </si>
  <si>
    <t>Cauca*</t>
  </si>
  <si>
    <t>Cundinamarca</t>
  </si>
  <si>
    <t xml:space="preserve">ll y III trimestre
</t>
  </si>
  <si>
    <t>Boyacá</t>
  </si>
  <si>
    <t>Antioquia*</t>
  </si>
  <si>
    <t xml:space="preserve">I y IV trimestre
</t>
  </si>
  <si>
    <t>Santanderes</t>
  </si>
  <si>
    <t xml:space="preserve">I y III trimestre
</t>
  </si>
  <si>
    <t>*Requieren de tiquete aéreo</t>
  </si>
  <si>
    <t xml:space="preserve">Viáticos  </t>
  </si>
  <si>
    <t>PRESUPUESTO DE VIÁTICOS Y GASTOS DE VIAJE PARA MEJORAMIENTO GENETICO DE PAPA TETRAPLOIDE COMO ESTRATEGIA DE SOSTENIMIENTO PARA EL SISTEMA PRODUCTIVO EN COLOMBIA 2021</t>
  </si>
  <si>
    <t xml:space="preserve">Se requiere el pago de 50 viáticos por concepto de visitas de evaluación a los lotes de las (PEA) de los clones avanzados, por parte del profesor Carlos Ñustes durante la vigencia 2022. </t>
  </si>
  <si>
    <t xml:space="preserve">Profesor lider del proyecto  </t>
  </si>
  <si>
    <t xml:space="preserve">l trimestre
</t>
  </si>
  <si>
    <t xml:space="preserve">ll trimestre
</t>
  </si>
  <si>
    <t xml:space="preserve">III trimestre
</t>
  </si>
  <si>
    <t xml:space="preserve">IV trimestre
</t>
  </si>
  <si>
    <t xml:space="preserve">Se requiere viáticos para 12 viajes en 12 meses a cargo del responsable del proyecto a zonas productoras. </t>
  </si>
  <si>
    <t>PRESUPUESTO DE VIÁTICOS Y GASTOS DE VIAJE PARA CONSUMO 2022</t>
  </si>
  <si>
    <t>Los viáticos son solicitados con el fin de hacer un acompañamiento en las acciones de generación de contenido digital, ya que al hacer la producción de este material se requiere ir a campo. A su vez, se busca continuar con la construcción del banco de imágenes para uso exclusivo de la campaña y los proyectos de FNFP</t>
  </si>
  <si>
    <t xml:space="preserve">Diseñador </t>
  </si>
  <si>
    <t xml:space="preserve">II Trimestre 
</t>
  </si>
  <si>
    <t>III Trimestre</t>
  </si>
  <si>
    <t xml:space="preserve">Director de mercadeo </t>
  </si>
  <si>
    <t xml:space="preserve">IV Trimestre 
</t>
  </si>
  <si>
    <t>PRESUPUESTO PLAN DE DIVULGACIÓN DE LOS PROYECTOS DEL FNFP 2022</t>
  </si>
  <si>
    <t>PRESUPUESTO VIÁTICOS PLAN DE DIVULGACIÓN DE LOS PROYECTOS DEL FNFP 2022</t>
  </si>
  <si>
    <t>IV Trimestre</t>
  </si>
  <si>
    <t>TERCER SEMINARIO INTERNACIONAL DE LA PAPA 2022</t>
  </si>
  <si>
    <t>Tiquetes aéreos internacionales</t>
  </si>
  <si>
    <t>Se requieren dos tiquetes aéreos internacionales para 2 conferencistas.</t>
  </si>
  <si>
    <t>Tiquetes nacionales</t>
  </si>
  <si>
    <t>Se requieren 6 tiquetes aéreos nacionales para 6 conferencistas.</t>
  </si>
  <si>
    <t>Viáticos internacionales</t>
  </si>
  <si>
    <t>Se requieren viáticos para 2 personas durante 2 días por valor de $600.000</t>
  </si>
  <si>
    <t>Viáticos Nacionales</t>
  </si>
  <si>
    <t>Se requieren viáticos para 6 personas durante 2 días por valor de $600.000.</t>
  </si>
  <si>
    <t>Registro y certificaciones</t>
  </si>
  <si>
    <t>Se requiere material para realizar registro y entrega de certificaciones a asistentes al evento.</t>
  </si>
  <si>
    <t>Memorias y libretas</t>
  </si>
  <si>
    <t>Se requiere hacer entrega de las memorias del evento así como la necesidad de entregar material de apoyo a los asistentes</t>
  </si>
  <si>
    <t>Alimentación beneficiarios</t>
  </si>
  <si>
    <t>Se requiere alimentación para asistentes al evento 500 asistentes</t>
  </si>
  <si>
    <t>Divulgacion evento</t>
  </si>
  <si>
    <t>Se requiere realizar socializacion y divulgacion del evento con el fin de contar con la mayor cantidad de asistentes al tercer seminario internacional de papa. Cuñas radiales, redes sociales y funcionarios del FNFP</t>
  </si>
  <si>
    <t>Honorarios conferencistas internacionales</t>
  </si>
  <si>
    <t>Se requieren honorarios para 2 conferencistas internacionales por valor de $3.000.000 de pesos cada uno</t>
  </si>
  <si>
    <t>Logistica seminario</t>
  </si>
  <si>
    <t xml:space="preserve">Se requiere contar con la ligistica y demas equipo de sonido, video, pantallas </t>
  </si>
  <si>
    <t>Backing y stand institucional</t>
  </si>
  <si>
    <t>Se requiere el diseño y desarrollo de escenario (Backing) y stand institucional para la divulgacion de los proyectos.</t>
  </si>
  <si>
    <t>HONORARIOS</t>
  </si>
  <si>
    <t xml:space="preserve">VALOR TOTAL </t>
  </si>
  <si>
    <t>CUADRO CONTROL DE APROPIACION  2022</t>
  </si>
  <si>
    <t>VARIACION 2022 VS 2021</t>
  </si>
  <si>
    <t>AÑO 2022</t>
  </si>
  <si>
    <t>2022 VS 2021</t>
  </si>
  <si>
    <t>Se requiere la compra de tiquetes para 13 viajes en 12 meses para el responsable del proyecto a zonas productoras. Presenta incremento de acuerdo con el aumento estandarizado para tiquetes por parte del FNFP.</t>
  </si>
  <si>
    <t>Estudio de abastecimiento y cadena logistica de papa en Colombia</t>
  </si>
  <si>
    <t>Estructura y competitividad de la Industria de insumos agropecuarios en Colombia y el mundo</t>
  </si>
  <si>
    <t>Estudio de oportunidades comerciales en mercados internacionales y nacionales para la papa colombiana</t>
  </si>
  <si>
    <t>Estudios económicos</t>
  </si>
  <si>
    <t>Investigación de consumo per cápita de papa en Colombia</t>
  </si>
  <si>
    <t>PRESUPUESTO DE VIÁTICOS Y GASTOS DE VIAJE PARA ASOCIATIVIDAD Y FORTALECIMIENTO EMPRESARIAL 2022</t>
  </si>
  <si>
    <t>Se contempla el desplazamiento por parte del director y los coordinadores a las asociaciones, con el fin de realizar el seguimiento y avance del proyecto durante la vigencia 2022. (Dos (02) profesionales realizarán cinco (05) visitas para diez (10) asociaciones).</t>
  </si>
  <si>
    <t>Se contempla tiquetes aéreos por parte del director y los coordinadores a las asociaciones, con el fin de realizar el seguimiento y avance del proyecto durante la vigencia 2022. (Dos (02) profesionales realizarán cuatro (04) visitas en cinco organizaciones y/o regiones productoras).</t>
  </si>
  <si>
    <t>Se contempla la realización de 6 sesiones de junta directiva; 4 ordinarias y 2 extraordinarias de manera presencial para la vigencia 2022. Presenta un incremento del 215% correspondiente a que durante la vigencia anterior las sesiones se celebraron de manera virtual dada la emergencia sanitaria, económica y social del COVID-19 y con los recursos solicitados se contemplaron dos sesiones de manera virtual.
Se contempla la realización de 6 sesiones de junta directiva; 4 ordinarias y 2 extraordinarias de manera presencial para la vigencia 2022. Presenta un incremento del 215% correspondiente a que durante la vigencia anterior las sesiones se celebraron de manera virtual dada la emergencia sanitaria, económica y social del COVID-19 y con los recursos solicitados se contemplaron dos sesiones de manera virtual.</t>
  </si>
  <si>
    <t>Se contemplan 36 viáticos de los cuales 12 son pernoctando aproximadamente 2,5 días (alojamiento y alimentación) para las visitas de campo y 12 desplazamientos sin pernoctar para el auditor de tiempo completo y 12 viajes para el auditor líder. Presenta un incremento del 15% considerando transportes fuera del casco urbano los cuales se realizarán con una empresa de transporte y estos son aun mayor costo por su difícil acceso en zonas veredales.
Se requieren tiquetes para realizar los desplazamientos a nivel nacional, se contempla 1 viaje por mes de esta manera realizar seguimiento de la correcta inversión de los recursos del FNFP en cada unos de los proyectos de la vigencia (12 viajes auditor de tiempo completo y 6 viajes auditor líder). Se presenta un incremento del 1,73% contemplando la variación en los costos de los tiquetes.</t>
  </si>
  <si>
    <t>Se requiere el pago de 9 de tiquetes por valor de $774.000 por concepto de viajes director de proyecto y/o coordinadores para seguimiento a las zonas ded Nariño, Cauca, Santander  y Antioquia.</t>
  </si>
  <si>
    <t>Viaticos</t>
  </si>
  <si>
    <t>PRESUPUESTO DE VIATICOS Y GASTOS DE VIAJE PARA SISTEMAS DE INFORMACIÓN VIGENCIA 2022</t>
  </si>
  <si>
    <t>Funcionamiento - administrativo</t>
  </si>
  <si>
    <t>Funcionamiento - recaudo</t>
  </si>
  <si>
    <t>Funcionamiento</t>
  </si>
  <si>
    <t>Contraprestacion</t>
  </si>
  <si>
    <t>Inversion</t>
  </si>
  <si>
    <t>Mejoramiento genetico</t>
  </si>
  <si>
    <t>Sistemas de informacion</t>
  </si>
  <si>
    <t>Campaña de promocion al consumo</t>
  </si>
  <si>
    <t>Promocion y divulgacion del FNFP</t>
  </si>
  <si>
    <t>Asociatividad y fortalecimiento empresarial</t>
  </si>
  <si>
    <t>VIGENCIA 2022</t>
  </si>
  <si>
    <t>VIGENCIA 2021</t>
  </si>
  <si>
    <t>VARIACION</t>
  </si>
  <si>
    <t>TOTAL FUNCIONAMIENTO E INVERSION</t>
  </si>
  <si>
    <t>PARTICIPACION</t>
  </si>
  <si>
    <t>Mecanismos de defensa</t>
  </si>
  <si>
    <t>PRESUPUESTO DE GASTOS PARA PLAN ESTRATEGICO FNFP VIGENCIA 2022</t>
  </si>
  <si>
    <t>Consultoria</t>
  </si>
  <si>
    <t>Se requiere la prestación de servicios de una entidad especializada para la realización del plan estrategico del FNFP. Un un lineamiento a seguir durante los próximos años (2022-2015) que orienten la toma de decisiones en lo que respecta a la inversion de recursos del subsector papa.</t>
  </si>
  <si>
    <t>AJUSTE</t>
  </si>
  <si>
    <t>SALDO</t>
  </si>
  <si>
    <t>LIQ SUPERAVIT</t>
  </si>
  <si>
    <t>ADICION</t>
  </si>
  <si>
    <t>CUADRO CONTROL DE APROPIACION  2023</t>
  </si>
  <si>
    <t>AÑO 2023</t>
  </si>
  <si>
    <t>Investigación y transferencia de tecnología</t>
  </si>
  <si>
    <t>Semillas</t>
  </si>
  <si>
    <t xml:space="preserve">Estudio de herramientas para la caracterización edafoclimática en el cultivo de papa en Colombia. </t>
  </si>
  <si>
    <t xml:space="preserve">Medición de áreas sembradas de papa a través de la implementación de técnicas espaciales y/o imágenes satelitales aplicadas al cultivo de la papa.  </t>
  </si>
  <si>
    <t>Programa de transferencia de tecnología a través de la ampliación de oferta de tubérculo semilla -  categoría certificada</t>
  </si>
  <si>
    <t>Analisis de virus y patogenos normatividad ICA</t>
  </si>
  <si>
    <t xml:space="preserve">Insumos de laboratorio y campo de investigación para patógenos de suelo. </t>
  </si>
  <si>
    <t>Comercialización</t>
  </si>
  <si>
    <t>Estudios - Estudio de percepción de la categoría</t>
  </si>
  <si>
    <t>Investigación nutricional de variedades de papa.</t>
  </si>
  <si>
    <t>Estudio exploratorio sobre el desarrollo de estrategias y mecanismos para  la estabilización de precios en el subsector de la papa.</t>
  </si>
  <si>
    <t xml:space="preserve">Estudio de prefactibilidad para la intervención del mercado de insumos agropecuarios a partir de la creación de una unidad estratégica en fertilizantes en zona productora de representatividad en la producción de papa. </t>
  </si>
  <si>
    <t xml:space="preserve">Estudio de proyección comercial, económica y financiera de mercados internacionales potenciales para la papa
y sus subproductos industriales </t>
  </si>
  <si>
    <t>Estudios asociatividad</t>
  </si>
  <si>
    <t>Investigación y desarrollo de subproductos agroindustriales.</t>
  </si>
  <si>
    <t>Alquiler de dron para fumigación</t>
  </si>
  <si>
    <t>AC 05-2023</t>
  </si>
  <si>
    <t>EJECUCIÓN</t>
  </si>
  <si>
    <t>1ER TRIM 2023</t>
  </si>
  <si>
    <t>2DO TRIM 2023</t>
  </si>
  <si>
    <t>3ER TRIM 2023</t>
  </si>
  <si>
    <t>4TO TRIM 2023</t>
  </si>
  <si>
    <t>AÑO</t>
  </si>
  <si>
    <t xml:space="preserve"> TOTAL</t>
  </si>
  <si>
    <t>EJECUTADO</t>
  </si>
  <si>
    <t>CIERRE DEF</t>
  </si>
  <si>
    <t>03-2023</t>
  </si>
  <si>
    <t>AC 12-2023</t>
  </si>
  <si>
    <t>AC 13-2023</t>
  </si>
  <si>
    <t>DISMINUCION</t>
  </si>
  <si>
    <t>ACUERDO 04-2023</t>
  </si>
  <si>
    <t>BALANCE</t>
  </si>
  <si>
    <t>ESTADOS FINANCIEROS JUNIO</t>
  </si>
  <si>
    <t>impo consumo</t>
  </si>
  <si>
    <t>balance</t>
  </si>
  <si>
    <t>cta 53</t>
  </si>
  <si>
    <t>activos fijos</t>
  </si>
  <si>
    <t>ppto</t>
  </si>
  <si>
    <t>dif</t>
  </si>
  <si>
    <t>reposicion equipo de computo por robo</t>
  </si>
  <si>
    <t>FONDO NAL DE FOMENTO DE L                                           Saldos de cuentas de mayor                                          Hora 14:29:57     Fecha 18.07.2023</t>
  </si>
  <si>
    <t>BOGOTA                     Ledger 0L                                                                                                RFSSLD00/AUXCONTFNFP3 Página         1</t>
  </si>
  <si>
    <t>Períodos de arrastre 00-00 2023 Períodos informe 01-06 2023</t>
  </si>
  <si>
    <t>Soc.</t>
  </si>
  <si>
    <t>Cta.mayor</t>
  </si>
  <si>
    <t>Texto breve</t>
  </si>
  <si>
    <t>Mon.</t>
  </si>
  <si>
    <t xml:space="preserve">     Arrastre de saldos</t>
  </si>
  <si>
    <t xml:space="preserve">   Saldo per.anteriores</t>
  </si>
  <si>
    <t>Período de informe debe</t>
  </si>
  <si>
    <t xml:space="preserve">   Saldo Haber per.inf.</t>
  </si>
  <si>
    <t xml:space="preserve">        Saldo acumulado</t>
  </si>
  <si>
    <t>BOGOTA CTA AHORROS N</t>
  </si>
  <si>
    <t>COP</t>
  </si>
  <si>
    <t>DAVIVIENDA CTA AH No</t>
  </si>
  <si>
    <t>CERTIFICADOS DE DEPO</t>
  </si>
  <si>
    <t>CDT RENDIMIENTOS</t>
  </si>
  <si>
    <t>CUOTA DE FOMENTO</t>
  </si>
  <si>
    <t>INTERESES DE MORA-RE</t>
  </si>
  <si>
    <t>OTRAS CUENTAS POR CO</t>
  </si>
  <si>
    <t>MAQUINARIA Y EQUIPO</t>
  </si>
  <si>
    <t>MUEBLES Y ENSERES</t>
  </si>
  <si>
    <t>EQUIPO DE COMUNICACI</t>
  </si>
  <si>
    <t>EQUIPO DE COMPUTACIO</t>
  </si>
  <si>
    <t>MUEBLES, ENSERES Y E</t>
  </si>
  <si>
    <t>EQUIPOS DE COMUNICAC</t>
  </si>
  <si>
    <t>CONTRAPARTIDA CIERRE</t>
  </si>
  <si>
    <t>ANTICIPO ADQUISICION</t>
  </si>
  <si>
    <t>OTROS AVANCES Y ANTI</t>
  </si>
  <si>
    <t>LICENCIAS</t>
  </si>
  <si>
    <t>BIENES Y SERVICIOS</t>
  </si>
  <si>
    <t>OTROS RECAUDOS A FA</t>
  </si>
  <si>
    <t>APORTES A FONDOS PEN</t>
  </si>
  <si>
    <t>APORTES A SEGURIDAD</t>
  </si>
  <si>
    <t>LIBRANZAS COOPERATIV</t>
  </si>
  <si>
    <t>LIBRANZAS</t>
  </si>
  <si>
    <t>EMBARGOS JUDICIALES</t>
  </si>
  <si>
    <t>RTE HONORARIOS 11%</t>
  </si>
  <si>
    <t>RTE SERV 1%</t>
  </si>
  <si>
    <t>RTE SERV 4%</t>
  </si>
  <si>
    <t>RTE SERV 3.5% HOTEL</t>
  </si>
  <si>
    <t>RTE SERV  LICEN 3.5%</t>
  </si>
  <si>
    <t>RTE SERVICIOS 2 %</t>
  </si>
  <si>
    <t>RTE ARRIENDO 4%</t>
  </si>
  <si>
    <t>RTE COMPRAS 1.5%</t>
  </si>
  <si>
    <t>RTE COMPRAS 2.5%</t>
  </si>
  <si>
    <t>RENTAS DE TRABAJO</t>
  </si>
  <si>
    <t>IVA RETE REG SERV</t>
  </si>
  <si>
    <t>IVA RETENIDO RC COMP</t>
  </si>
  <si>
    <t>IVA RETENIDO RC SERV</t>
  </si>
  <si>
    <t>ICA 6.9 X 1000</t>
  </si>
  <si>
    <t>ICA 9.66 X 1000</t>
  </si>
  <si>
    <t>ICA 13.8 X 1000</t>
  </si>
  <si>
    <t>ICA 4.14 X 1000</t>
  </si>
  <si>
    <t>ICA 11.04 x 1000</t>
  </si>
  <si>
    <t>RTE ICA 6 X MIL  ITA</t>
  </si>
  <si>
    <t>RTE ICA 10 LA UNION</t>
  </si>
  <si>
    <t>RTE ICA 10 X MIL LA</t>
  </si>
  <si>
    <t>RTE ICA 5 X MIL VILL</t>
  </si>
  <si>
    <t>RTE ICA 5 VILLAPINZ</t>
  </si>
  <si>
    <t>RTE ICA 8 X MIL SUBA</t>
  </si>
  <si>
    <t>RTE ICA 8,5 X MIL EL</t>
  </si>
  <si>
    <t>RTE ICA 5 X MIL TUNJ</t>
  </si>
  <si>
    <t>RTE ICA 7 TUNJA</t>
  </si>
  <si>
    <t>RTE ICA 10 X MIL TUN</t>
  </si>
  <si>
    <t>RTE ICA 10 TUNJA SER</t>
  </si>
  <si>
    <t>RET ICA 10 ZIPA COMP</t>
  </si>
  <si>
    <t>RETEICA ACT. SERVICI</t>
  </si>
  <si>
    <t>RETENCIONES CONTRATI</t>
  </si>
  <si>
    <t>RETEFUENTE POR PAGAR</t>
  </si>
  <si>
    <t>RETE ICA POR PAGAR</t>
  </si>
  <si>
    <t>APORTES AL ICBF Y SE</t>
  </si>
  <si>
    <t>CUOTA FOMENTO POR RE</t>
  </si>
  <si>
    <t>NOMINA POR PAGAR</t>
  </si>
  <si>
    <t>CUENTA TECNICA NOMIN</t>
  </si>
  <si>
    <t>CESANTIAS</t>
  </si>
  <si>
    <t>INTERESES SOBRE CESA</t>
  </si>
  <si>
    <t>VACACIONES</t>
  </si>
  <si>
    <t>PRIMA DE SERVICIOS</t>
  </si>
  <si>
    <t>RIESGOS PROFESIONALE</t>
  </si>
  <si>
    <t>CAPITAL FISCAL</t>
  </si>
  <si>
    <t>ADOP PRIMERA VEZ PPE</t>
  </si>
  <si>
    <t>RESULTADO DEL EJERCI</t>
  </si>
  <si>
    <t>CUOTA DE FOMENTO VIG</t>
  </si>
  <si>
    <t>OK</t>
  </si>
  <si>
    <t>OTRAS TRANSFERENCIAS</t>
  </si>
  <si>
    <t>se descuenta de los gastos reintegro pc por robo</t>
  </si>
  <si>
    <t>INTERESES SOBRE DEPO</t>
  </si>
  <si>
    <t>INTERESES DE MORA</t>
  </si>
  <si>
    <t>RECUPERACIONES</t>
  </si>
  <si>
    <t>INCAPACIDADES</t>
  </si>
  <si>
    <t>APROVECHAMIENTOS</t>
  </si>
  <si>
    <t>SUELDOS DEL PERSONAL</t>
  </si>
  <si>
    <t>AUXILIO DE TRANSPORT</t>
  </si>
  <si>
    <t>APORTES A CAJAS DE C</t>
  </si>
  <si>
    <t>COTIZACIONES A SEGUR</t>
  </si>
  <si>
    <t>COTIZACIONES A RIESG</t>
  </si>
  <si>
    <t>COTIZACIONES A ENTID</t>
  </si>
  <si>
    <t>APORTES AL ICBF</t>
  </si>
  <si>
    <t>APORTES AL SENA</t>
  </si>
  <si>
    <t>INTERESES A LAS CESA</t>
  </si>
  <si>
    <t>CAPACITACION, BIENES</t>
  </si>
  <si>
    <t>DOTACION Y SUMINISTR</t>
  </si>
  <si>
    <t>AT ASISTENCIA TECNIC</t>
  </si>
  <si>
    <t>AM ATL</t>
  </si>
  <si>
    <t>AM BTL</t>
  </si>
  <si>
    <t>AM DIGITAL</t>
  </si>
  <si>
    <t>ESTUDIOS</t>
  </si>
  <si>
    <t>MATERIALES Y SUMINIS</t>
  </si>
  <si>
    <t>MANTENIMIENTO</t>
  </si>
  <si>
    <t>ENERGIA</t>
  </si>
  <si>
    <t>ACUEDUCTO Y ALCANTAR</t>
  </si>
  <si>
    <t>TELEFONO</t>
  </si>
  <si>
    <t>ARRENDAMIENTOS</t>
  </si>
  <si>
    <t>VIATICOS Y GASTOS DE</t>
  </si>
  <si>
    <t>IMPRESOS</t>
  </si>
  <si>
    <t>CORREO</t>
  </si>
  <si>
    <t>TRANSPORTES</t>
  </si>
  <si>
    <t>PROMOCION Y DIVULGAC</t>
  </si>
  <si>
    <t>CONTRAPRESTACION</t>
  </si>
  <si>
    <t>GASTOS LEGALES</t>
  </si>
  <si>
    <t>INTANGIBLES</t>
  </si>
  <si>
    <t>JUNTA DIRECTIVA</t>
  </si>
  <si>
    <t>GRAVAMEN A LOS MOVIM</t>
  </si>
  <si>
    <t>IMPUESTO NACIONAL AL</t>
  </si>
  <si>
    <t>MUEBLES ENSERES Y EQ</t>
  </si>
  <si>
    <t>COMISIONES SERVICIOS</t>
  </si>
  <si>
    <t>CUENTAS DEUDORAS DE</t>
  </si>
  <si>
    <t>DEUDORAS DE CONT CRE</t>
  </si>
  <si>
    <t>estudios</t>
  </si>
  <si>
    <t>cta anticipos</t>
  </si>
  <si>
    <t>PRIMER TRIM</t>
  </si>
  <si>
    <t>EJECUCION</t>
  </si>
  <si>
    <t>2DO TRIM</t>
  </si>
  <si>
    <t>SOLICITADO</t>
  </si>
  <si>
    <t>ACUERDO 9</t>
  </si>
  <si>
    <t>ACUERDO 10</t>
  </si>
  <si>
    <t>contraprestacion</t>
  </si>
  <si>
    <t>ene</t>
  </si>
  <si>
    <t>feb</t>
  </si>
  <si>
    <t>mar</t>
  </si>
  <si>
    <t>ab</t>
  </si>
  <si>
    <t>may</t>
  </si>
  <si>
    <t>jun</t>
  </si>
  <si>
    <t>funcionamiento</t>
  </si>
  <si>
    <t>inversion</t>
  </si>
  <si>
    <t>solicitud con deduccion de repeticion en solicitud de acuerdo</t>
  </si>
  <si>
    <t>AC 16-2023</t>
  </si>
  <si>
    <t>AC 17-2023</t>
  </si>
  <si>
    <t>07-2023</t>
  </si>
  <si>
    <t>AC 21-2023</t>
  </si>
  <si>
    <t>10-2023</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</si>
</sst>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quot;$&quot;* #,##0_-;\-&quot;$&quot;* #,##0_-;_-&quot;$&quot;* &quot;-&quot;_-;_-@_-"/>
    <numFmt numFmtId="166" formatCode="_-&quot;$&quot;* #,##0.00_-;\-&quot;$&quot;* #,##0.00_-;_-&quot;$&quot;* &quot;-&quot;??_-;_-@_-"/>
    <numFmt numFmtId="167" formatCode="_-* #,##0.00\ &quot;€&quot;_-;\-* #,##0.00\ &quot;€&quot;_-;_-* &quot;-&quot;??\ &quot;€&quot;_-;_-@_-"/>
    <numFmt numFmtId="168" formatCode="_-* #,##0.00\ _€_-;\-* #,##0.00\ _€_-;_-* &quot;-&quot;??\ _€_-;_-@_-"/>
    <numFmt numFmtId="169" formatCode="_(&quot;$&quot;\ * #,##0.00_);_(&quot;$&quot;\ * \(#,##0.00\);_(&quot;$&quot;\ * &quot;-&quot;??_);_(@_)"/>
    <numFmt numFmtId="170" formatCode="0.0%"/>
    <numFmt numFmtId="171" formatCode="0.000%"/>
    <numFmt numFmtId="172" formatCode="_ * #,##0.00_ ;_ * \-#,##0.00_ ;_ * &quot;-&quot;??_ ;_ @_ "/>
    <numFmt numFmtId="173" formatCode="_-&quot;$&quot;* #,##0_-;\-&quot;$&quot;* #,##0_-;_-&quot;$&quot;* &quot;-&quot;??_-;_-@_-"/>
    <numFmt numFmtId="174" formatCode="_ * #,##0_ ;_ * \-#,##0_ ;_ * &quot;-&quot;??_ ;_ @_ "/>
    <numFmt numFmtId="175" formatCode="[$$-240A]#,##0.00"/>
    <numFmt numFmtId="176" formatCode="[$$-240A]#,##0"/>
    <numFmt numFmtId="177" formatCode="_-* #,##0\ _€_-;\-* #,##0\ _€_-;_-* &quot;-&quot;??\ _€_-;_-@_-"/>
    <numFmt numFmtId="178" formatCode="_-* #,##0_-;\-* #,##0_-;_-* &quot;-&quot;??_-;_-@_-"/>
    <numFmt numFmtId="179" formatCode="#,##0\ _€"/>
    <numFmt numFmtId="180" formatCode="[$$-240A]#,##0;\-[$$-240A]#,##0"/>
    <numFmt numFmtId="181" formatCode="_-* #,##0.00_-;\-* #,##0.00_-;_-* &quot;-&quot;_-;_-@_-"/>
    <numFmt numFmtId="182" formatCode="_(* #,##0_);_(* \(#,##0\);_(* &quot;-&quot;??_);_(@_)"/>
    <numFmt numFmtId="183" formatCode="mmmm\ d\,\ yyyy"/>
    <numFmt numFmtId="184" formatCode="#,##0_ ;\-#,##0\ "/>
    <numFmt numFmtId="185" formatCode="_-[$$-240A]\ * #,##0_-;\-[$$-240A]\ * #,##0_-;_-[$$-240A]\ * &quot;-&quot;??_-;_-@_-"/>
    <numFmt numFmtId="186" formatCode="_-* #,##0.0\ _€_-;\-* #,##0.0\ _€_-;_-* &quot;-&quot;??\ _€_-;_-@_-"/>
    <numFmt numFmtId="187" formatCode="_-* #,##0.000\ _€_-;\-* #,##0.000\ _€_-;_-* &quot;-&quot;??\ _€_-;_-@_-"/>
  </numFmts>
  <fonts count="76">
    <font>
      <sz val="11"/>
      <color theme="1"/>
      <name val="Calibri"/>
      <family val="2"/>
    </font>
    <font>
      <sz val="11"/>
      <color indexed="8"/>
      <name val="Calibri"/>
      <family val="2"/>
    </font>
    <font>
      <sz val="10"/>
      <name val="Arial"/>
      <family val="2"/>
    </font>
    <font>
      <sz val="12"/>
      <name val="Arial"/>
      <family val="2"/>
    </font>
    <font>
      <b/>
      <sz val="12"/>
      <name val="Arial Narrow"/>
      <family val="2"/>
    </font>
    <font>
      <sz val="12"/>
      <name val="Arial Narrow"/>
      <family val="2"/>
    </font>
    <font>
      <sz val="10"/>
      <name val="MS Sans Serif"/>
      <family val="2"/>
    </font>
    <font>
      <sz val="11"/>
      <name val="Arial"/>
      <family val="2"/>
    </font>
    <font>
      <b/>
      <sz val="11"/>
      <name val="Arial"/>
      <family val="2"/>
    </font>
    <font>
      <b/>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b/>
      <sz val="12"/>
      <color indexed="8"/>
      <name val="Arial"/>
      <family val="2"/>
    </font>
    <font>
      <sz val="11"/>
      <color indexed="8"/>
      <name val="Arial"/>
      <family val="2"/>
    </font>
    <font>
      <sz val="12"/>
      <color indexed="8"/>
      <name val="Arial Narrow"/>
      <family val="2"/>
    </font>
    <font>
      <b/>
      <sz val="12"/>
      <color indexed="8"/>
      <name val="Arial Narrow"/>
      <family val="2"/>
    </font>
    <font>
      <sz val="14"/>
      <color indexed="8"/>
      <name val="Arial"/>
      <family val="2"/>
    </font>
    <font>
      <b/>
      <sz val="11"/>
      <color indexed="8"/>
      <name val="Arial"/>
      <family val="2"/>
    </font>
    <font>
      <sz val="11"/>
      <color indexed="62"/>
      <name val="Arial"/>
      <family val="2"/>
    </font>
    <font>
      <sz val="12"/>
      <color indexed="10"/>
      <name val="Arial Narrow"/>
      <family val="2"/>
    </font>
    <font>
      <b/>
      <sz val="16"/>
      <color indexed="8"/>
      <name val="Arial"/>
      <family val="2"/>
    </font>
    <font>
      <b/>
      <sz val="12"/>
      <color indexed="9"/>
      <name val="Arial Narrow"/>
      <family val="2"/>
    </font>
    <font>
      <b/>
      <sz val="14"/>
      <color indexed="8"/>
      <name val="Arial"/>
      <family val="2"/>
    </font>
    <font>
      <b/>
      <sz val="11"/>
      <color indexed="62"/>
      <name val="Arial"/>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2"/>
      <color theme="1"/>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b/>
      <sz val="12"/>
      <color theme="1"/>
      <name val="Arial"/>
      <family val="2"/>
    </font>
    <font>
      <sz val="12"/>
      <color rgb="FF000000"/>
      <name val="Arial"/>
      <family val="2"/>
    </font>
    <font>
      <sz val="11"/>
      <color theme="1"/>
      <name val="Arial"/>
      <family val="2"/>
    </font>
    <font>
      <sz val="12"/>
      <color theme="1"/>
      <name val="Arial Narrow"/>
      <family val="2"/>
    </font>
    <font>
      <b/>
      <sz val="12"/>
      <color theme="1"/>
      <name val="Arial Narrow"/>
      <family val="2"/>
    </font>
    <font>
      <sz val="14"/>
      <color theme="1"/>
      <name val="Arial"/>
      <family val="2"/>
    </font>
    <font>
      <b/>
      <sz val="11"/>
      <color theme="1"/>
      <name val="Arial"/>
      <family val="2"/>
    </font>
    <font>
      <sz val="11"/>
      <color theme="8" tint="-0.4999699890613556"/>
      <name val="Arial"/>
      <family val="2"/>
    </font>
    <font>
      <sz val="12"/>
      <color rgb="FFFF0000"/>
      <name val="Arial Narrow"/>
      <family val="2"/>
    </font>
    <font>
      <b/>
      <sz val="16"/>
      <color theme="1"/>
      <name val="Arial"/>
      <family val="2"/>
    </font>
    <font>
      <b/>
      <sz val="12"/>
      <color theme="0"/>
      <name val="Arial Narrow"/>
      <family val="2"/>
    </font>
    <font>
      <b/>
      <sz val="14"/>
      <color theme="1"/>
      <name val="Arial"/>
      <family val="2"/>
    </font>
    <font>
      <b/>
      <sz val="11"/>
      <color theme="8"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2" tint="-0.7499799728393555"/>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medium"/>
      <bottom style="hair"/>
    </border>
    <border>
      <left style="hair"/>
      <right style="medium"/>
      <top style="medium"/>
      <bottom style="hair"/>
    </border>
    <border>
      <left style="medium"/>
      <right style="medium"/>
      <top style="medium"/>
      <bottom style="hair"/>
    </border>
    <border>
      <left style="hair"/>
      <right style="hair"/>
      <top style="hair"/>
      <bottom style="medium"/>
    </border>
    <border>
      <left style="hair"/>
      <right style="medium"/>
      <top style="hair"/>
      <bottom style="medium"/>
    </border>
    <border>
      <left style="medium"/>
      <right style="medium"/>
      <top style="hair"/>
      <bottom style="medium"/>
    </border>
    <border>
      <left style="medium"/>
      <right style="hair"/>
      <top/>
      <bottom style="hair"/>
    </border>
    <border>
      <left style="hair"/>
      <right style="hair"/>
      <top/>
      <bottom style="hair"/>
    </border>
    <border>
      <left style="hair"/>
      <right style="medium"/>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border>
    <border>
      <left style="hair"/>
      <right style="hair"/>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hair"/>
    </border>
    <border>
      <left style="medium"/>
      <right style="hair"/>
      <top style="hair"/>
      <bottom style="medium"/>
    </border>
    <border>
      <left style="medium"/>
      <right style="medium"/>
      <top/>
      <bottom style="hair"/>
    </border>
    <border>
      <left/>
      <right style="medium"/>
      <top style="hair"/>
      <bottom style="hair"/>
    </border>
    <border>
      <left style="medium"/>
      <right style="medium"/>
      <top style="hair"/>
      <bottom style="hair"/>
    </border>
    <border>
      <left style="medium"/>
      <right style="medium"/>
      <top style="hair"/>
      <bottom/>
    </border>
    <border>
      <left style="medium"/>
      <right style="medium"/>
      <top style="medium"/>
      <bottom style="medium"/>
    </border>
    <border>
      <left style="medium"/>
      <right style="medium"/>
      <top/>
      <bottom/>
    </border>
    <border>
      <left style="thin"/>
      <right style="thin"/>
      <top/>
      <bottom style="medium"/>
    </border>
    <border>
      <left style="thin"/>
      <right style="medium"/>
      <top/>
      <bottom style="medium"/>
    </border>
    <border>
      <left style="medium"/>
      <right style="thin"/>
      <top/>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thin"/>
      <right style="medium"/>
      <top style="thin"/>
      <bottom style="medium"/>
    </border>
    <border>
      <left/>
      <right style="thin"/>
      <top style="medium"/>
      <bottom/>
    </border>
    <border>
      <left style="thin"/>
      <right style="thin"/>
      <top/>
      <bottom style="thin"/>
    </border>
    <border>
      <left style="thin"/>
      <right style="medium"/>
      <top/>
      <bottom style="thin"/>
    </border>
    <border>
      <left/>
      <right style="medium"/>
      <top style="medium"/>
      <bottom style="medium"/>
    </border>
    <border>
      <left style="thin"/>
      <right style="thin"/>
      <top style="thin"/>
      <bottom style="thin"/>
    </border>
    <border>
      <left style="medium"/>
      <right style="thin"/>
      <top style="thin"/>
      <bottom style="thin"/>
    </border>
    <border>
      <left style="medium"/>
      <right style="thin"/>
      <top style="medium"/>
      <bottom style="medium"/>
    </border>
    <border>
      <left style="thin"/>
      <right style="thin"/>
      <top style="thin"/>
      <bottom/>
    </border>
    <border>
      <left style="medium"/>
      <right style="thin"/>
      <top/>
      <bottom/>
    </border>
    <border>
      <left style="thin"/>
      <right style="thin"/>
      <top/>
      <bottom/>
    </border>
    <border>
      <left style="thin"/>
      <right style="thin"/>
      <top style="medium"/>
      <bottom style="medium"/>
    </border>
    <border>
      <left style="thin"/>
      <right style="medium"/>
      <top style="medium"/>
      <bottom style="medium"/>
    </border>
    <border>
      <left style="thin"/>
      <right style="medium"/>
      <top/>
      <bottom/>
    </border>
    <border>
      <left/>
      <right style="medium"/>
      <top style="thin"/>
      <bottom style="thin"/>
    </border>
    <border>
      <left style="medium"/>
      <right style="thin"/>
      <top style="medium"/>
      <bottom style="thin"/>
    </border>
    <border>
      <left style="medium"/>
      <right style="thin"/>
      <top style="thin"/>
      <bottom style="medium"/>
    </border>
    <border>
      <left style="thin"/>
      <right style="medium"/>
      <top style="thin"/>
      <bottom style="thin"/>
    </border>
    <border>
      <left style="medium"/>
      <right style="thin"/>
      <top style="thin"/>
      <bottom/>
    </border>
    <border>
      <left/>
      <right style="medium"/>
      <top style="thin"/>
      <bottom/>
    </border>
    <border>
      <left style="thin"/>
      <right/>
      <top style="medium"/>
      <bottom/>
    </border>
    <border>
      <left/>
      <right style="medium"/>
      <top style="medium"/>
      <bottom/>
    </border>
    <border>
      <left/>
      <right style="medium"/>
      <top style="medium"/>
      <bottom style="thin"/>
    </border>
    <border>
      <left style="thin"/>
      <right/>
      <top/>
      <bottom style="medium"/>
    </border>
    <border>
      <left/>
      <right style="medium"/>
      <top/>
      <bottom style="medium"/>
    </border>
    <border>
      <left style="thin"/>
      <right/>
      <top style="thin"/>
      <bottom style="thin"/>
    </border>
    <border>
      <left style="hair"/>
      <right/>
      <top style="medium"/>
      <bottom style="hair"/>
    </border>
    <border>
      <left style="hair"/>
      <right>
        <color indexed="63"/>
      </right>
      <top/>
      <bottom style="hair"/>
    </border>
    <border>
      <left style="hair"/>
      <right>
        <color indexed="63"/>
      </right>
      <top style="hair"/>
      <bottom style="hair"/>
    </border>
    <border>
      <left style="hair"/>
      <right>
        <color indexed="63"/>
      </right>
      <top style="hair"/>
      <bottom/>
    </border>
    <border>
      <left style="hair"/>
      <right>
        <color indexed="63"/>
      </right>
      <top style="medium"/>
      <bottom style="medium"/>
    </border>
    <border>
      <left style="hair"/>
      <right/>
      <top style="hair"/>
      <bottom style="medium"/>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hair"/>
      <bottom style="hair"/>
    </border>
    <border>
      <left style="medium"/>
      <right>
        <color indexed="63"/>
      </right>
      <top style="medium"/>
      <bottom style="hair"/>
    </border>
    <border>
      <left style="medium"/>
      <right>
        <color indexed="63"/>
      </right>
      <top style="hair"/>
      <bottom style="medium"/>
    </border>
    <border>
      <left style="medium"/>
      <right>
        <color indexed="63"/>
      </right>
      <top/>
      <bottom style="hair"/>
    </border>
    <border>
      <left style="medium"/>
      <right>
        <color indexed="63"/>
      </right>
      <top style="hair"/>
      <bottom style="hair"/>
    </border>
    <border>
      <left style="medium"/>
      <right/>
      <top style="medium"/>
      <bottom style="medium"/>
    </border>
    <border>
      <left style="medium"/>
      <right style="hair"/>
      <top style="medium"/>
      <bottom/>
    </border>
    <border>
      <left style="medium"/>
      <right style="hair"/>
      <top/>
      <bottom style="medium"/>
    </border>
    <border>
      <left style="medium"/>
      <right style="medium"/>
      <top style="medium"/>
      <bottom>
        <color indexed="63"/>
      </bottom>
    </border>
    <border>
      <left style="medium"/>
      <right style="medium"/>
      <top>
        <color indexed="63"/>
      </top>
      <bottom style="medium"/>
    </border>
    <border>
      <left/>
      <right/>
      <top style="medium"/>
      <bottom style="medium"/>
    </border>
    <border>
      <left style="medium"/>
      <right style="thin"/>
      <top/>
      <bottom style="thin"/>
    </border>
    <border>
      <left style="medium"/>
      <right/>
      <top style="medium"/>
      <bottom/>
    </border>
    <border>
      <left/>
      <right/>
      <top style="medium"/>
      <bottom/>
    </border>
    <border>
      <left style="medium"/>
      <right/>
      <top/>
      <bottom style="thin"/>
    </border>
    <border>
      <left/>
      <right style="medium"/>
      <top/>
      <bottom style="thin"/>
    </border>
    <border>
      <left style="medium"/>
      <right/>
      <top/>
      <bottom style="medium"/>
    </border>
    <border>
      <left/>
      <right/>
      <top/>
      <bottom style="medium"/>
    </border>
    <border>
      <left/>
      <right style="thin"/>
      <top/>
      <bottom style="medium"/>
    </border>
    <border>
      <left style="thin"/>
      <right/>
      <top style="medium"/>
      <bottom style="thin"/>
    </border>
  </borders>
  <cellStyleXfs count="5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6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54"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64"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5" fontId="54"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4" fillId="0" borderId="0" applyFont="0" applyFill="0" applyBorder="0" applyAlignment="0" applyProtection="0"/>
    <xf numFmtId="44"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4"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608">
    <xf numFmtId="0" fontId="0" fillId="0" borderId="0" xfId="0" applyFont="1" applyAlignment="1">
      <alignment/>
    </xf>
    <xf numFmtId="168" fontId="62" fillId="0" borderId="0" xfId="49" applyFont="1" applyAlignment="1">
      <alignment/>
    </xf>
    <xf numFmtId="177" fontId="62" fillId="0" borderId="0" xfId="49" applyNumberFormat="1" applyFont="1" applyAlignment="1">
      <alignment/>
    </xf>
    <xf numFmtId="177" fontId="5" fillId="0" borderId="0" xfId="49" applyNumberFormat="1" applyFont="1" applyAlignment="1">
      <alignment/>
    </xf>
    <xf numFmtId="0" fontId="5" fillId="0" borderId="0" xfId="536" applyFont="1">
      <alignment/>
      <protection/>
    </xf>
    <xf numFmtId="177" fontId="4" fillId="0" borderId="0" xfId="49" applyNumberFormat="1" applyFont="1" applyBorder="1" applyAlignment="1">
      <alignment horizontal="center"/>
    </xf>
    <xf numFmtId="177" fontId="4" fillId="0" borderId="10" xfId="49" applyNumberFormat="1" applyFont="1" applyFill="1" applyBorder="1" applyAlignment="1">
      <alignment horizontal="center" vertical="center"/>
    </xf>
    <xf numFmtId="177" fontId="4" fillId="0" borderId="11" xfId="49" applyNumberFormat="1" applyFont="1" applyFill="1" applyBorder="1" applyAlignment="1">
      <alignment horizontal="center" vertical="center"/>
    </xf>
    <xf numFmtId="10" fontId="4" fillId="0" borderId="12" xfId="547" applyNumberFormat="1" applyFont="1" applyFill="1" applyBorder="1" applyAlignment="1">
      <alignment horizontal="center" vertical="center"/>
    </xf>
    <xf numFmtId="177" fontId="4" fillId="0" borderId="13" xfId="49" applyNumberFormat="1" applyFont="1" applyFill="1" applyBorder="1" applyAlignment="1">
      <alignment horizontal="center" vertical="center" wrapText="1"/>
    </xf>
    <xf numFmtId="177" fontId="4" fillId="0" borderId="13" xfId="49" applyNumberFormat="1" applyFont="1" applyFill="1" applyBorder="1" applyAlignment="1">
      <alignment horizontal="center" vertical="center"/>
    </xf>
    <xf numFmtId="177" fontId="4" fillId="0" borderId="14" xfId="49" applyNumberFormat="1" applyFont="1" applyFill="1" applyBorder="1" applyAlignment="1">
      <alignment horizontal="center" vertical="center"/>
    </xf>
    <xf numFmtId="10" fontId="4" fillId="0" borderId="15" xfId="547" applyNumberFormat="1" applyFont="1" applyFill="1" applyBorder="1" applyAlignment="1">
      <alignment horizontal="center" vertical="center"/>
    </xf>
    <xf numFmtId="0" fontId="4" fillId="33" borderId="16" xfId="536" applyFont="1" applyFill="1" applyBorder="1" applyAlignment="1">
      <alignment/>
      <protection/>
    </xf>
    <xf numFmtId="177" fontId="4" fillId="33" borderId="17" xfId="49" applyNumberFormat="1" applyFont="1" applyFill="1" applyBorder="1" applyAlignment="1">
      <alignment/>
    </xf>
    <xf numFmtId="177" fontId="4" fillId="33" borderId="18" xfId="49" applyNumberFormat="1" applyFont="1" applyFill="1" applyBorder="1" applyAlignment="1">
      <alignment/>
    </xf>
    <xf numFmtId="0" fontId="5" fillId="0" borderId="19" xfId="536" applyFont="1" applyBorder="1" applyAlignment="1">
      <alignment horizontal="left" indent="1"/>
      <protection/>
    </xf>
    <xf numFmtId="177" fontId="5" fillId="34" borderId="20" xfId="49" applyNumberFormat="1" applyFont="1" applyFill="1" applyBorder="1" applyAlignment="1">
      <alignment/>
    </xf>
    <xf numFmtId="177" fontId="5" fillId="0" borderId="21" xfId="49" applyNumberFormat="1" applyFont="1" applyBorder="1" applyAlignment="1">
      <alignment/>
    </xf>
    <xf numFmtId="177" fontId="5" fillId="0" borderId="20" xfId="49" applyNumberFormat="1" applyFont="1" applyBorder="1" applyAlignment="1">
      <alignment/>
    </xf>
    <xf numFmtId="0" fontId="4" fillId="33" borderId="19" xfId="536" applyFont="1" applyFill="1" applyBorder="1" applyAlignment="1">
      <alignment/>
      <protection/>
    </xf>
    <xf numFmtId="177" fontId="4" fillId="33" borderId="20" xfId="49" applyNumberFormat="1" applyFont="1" applyFill="1" applyBorder="1" applyAlignment="1">
      <alignment/>
    </xf>
    <xf numFmtId="177" fontId="4" fillId="33" borderId="21" xfId="49" applyNumberFormat="1" applyFont="1" applyFill="1" applyBorder="1" applyAlignment="1">
      <alignment/>
    </xf>
    <xf numFmtId="0" fontId="4" fillId="33" borderId="19" xfId="536" applyFont="1" applyFill="1" applyBorder="1" applyAlignment="1">
      <alignment horizontal="centerContinuous"/>
      <protection/>
    </xf>
    <xf numFmtId="0" fontId="4" fillId="33" borderId="19" xfId="536" applyFont="1" applyFill="1" applyBorder="1" applyAlignment="1">
      <alignment horizontal="left"/>
      <protection/>
    </xf>
    <xf numFmtId="0" fontId="4" fillId="33" borderId="19" xfId="536" applyFont="1" applyFill="1" applyBorder="1" applyAlignment="1">
      <alignment horizontal="left" indent="1"/>
      <protection/>
    </xf>
    <xf numFmtId="0" fontId="5" fillId="0" borderId="19" xfId="536" applyFont="1" applyBorder="1" applyAlignment="1">
      <alignment horizontal="left" indent="2"/>
      <protection/>
    </xf>
    <xf numFmtId="3" fontId="5" fillId="0" borderId="19" xfId="536" applyNumberFormat="1" applyFont="1" applyFill="1" applyBorder="1" applyAlignment="1">
      <alignment horizontal="left" vertical="justify" wrapText="1" indent="2"/>
      <protection/>
    </xf>
    <xf numFmtId="177" fontId="5" fillId="0" borderId="20" xfId="49" applyNumberFormat="1" applyFont="1" applyBorder="1" applyAlignment="1">
      <alignment/>
    </xf>
    <xf numFmtId="177" fontId="4" fillId="33" borderId="20" xfId="49" applyNumberFormat="1" applyFont="1" applyFill="1" applyBorder="1" applyAlignment="1">
      <alignment/>
    </xf>
    <xf numFmtId="0" fontId="5" fillId="0" borderId="22" xfId="536" applyFont="1" applyBorder="1" applyAlignment="1">
      <alignment horizontal="left" indent="2"/>
      <protection/>
    </xf>
    <xf numFmtId="177" fontId="5" fillId="34" borderId="23" xfId="49" applyNumberFormat="1" applyFont="1" applyFill="1" applyBorder="1" applyAlignment="1">
      <alignment/>
    </xf>
    <xf numFmtId="0" fontId="4" fillId="33" borderId="24" xfId="536" applyFont="1" applyFill="1" applyBorder="1" applyAlignment="1">
      <alignment horizontal="left" indent="1"/>
      <protection/>
    </xf>
    <xf numFmtId="177" fontId="4" fillId="33" borderId="25" xfId="49" applyNumberFormat="1" applyFont="1" applyFill="1" applyBorder="1" applyAlignment="1">
      <alignment/>
    </xf>
    <xf numFmtId="177" fontId="4" fillId="33" borderId="26" xfId="49" applyNumberFormat="1" applyFont="1" applyFill="1" applyBorder="1" applyAlignment="1">
      <alignment/>
    </xf>
    <xf numFmtId="0" fontId="5" fillId="0" borderId="16" xfId="536" applyFont="1" applyBorder="1" applyAlignment="1">
      <alignment horizontal="left" indent="2"/>
      <protection/>
    </xf>
    <xf numFmtId="177" fontId="5" fillId="0" borderId="17" xfId="49" applyNumberFormat="1" applyFont="1" applyBorder="1" applyAlignment="1">
      <alignment/>
    </xf>
    <xf numFmtId="177" fontId="5" fillId="0" borderId="18" xfId="49" applyNumberFormat="1" applyFont="1" applyBorder="1" applyAlignment="1">
      <alignment/>
    </xf>
    <xf numFmtId="177" fontId="4" fillId="33" borderId="21" xfId="49" applyNumberFormat="1" applyFont="1" applyFill="1" applyBorder="1" applyAlignment="1">
      <alignment/>
    </xf>
    <xf numFmtId="177" fontId="5" fillId="0" borderId="21" xfId="49" applyNumberFormat="1" applyFont="1" applyBorder="1" applyAlignment="1">
      <alignment/>
    </xf>
    <xf numFmtId="3" fontId="5" fillId="0" borderId="19" xfId="536" applyNumberFormat="1" applyFont="1" applyBorder="1" applyAlignment="1">
      <alignment horizontal="left" vertical="justify" wrapText="1" indent="2"/>
      <protection/>
    </xf>
    <xf numFmtId="177" fontId="5" fillId="34" borderId="20" xfId="49" applyNumberFormat="1" applyFont="1" applyFill="1" applyBorder="1" applyAlignment="1">
      <alignment/>
    </xf>
    <xf numFmtId="0" fontId="4" fillId="33" borderId="19" xfId="536" applyFont="1" applyFill="1" applyBorder="1" applyAlignment="1">
      <alignment horizontal="left" indent="2"/>
      <protection/>
    </xf>
    <xf numFmtId="0" fontId="4" fillId="33" borderId="27" xfId="536" applyFont="1" applyFill="1" applyBorder="1">
      <alignment/>
      <protection/>
    </xf>
    <xf numFmtId="177" fontId="4" fillId="33" borderId="10" xfId="49" applyNumberFormat="1" applyFont="1" applyFill="1" applyBorder="1" applyAlignment="1">
      <alignment/>
    </xf>
    <xf numFmtId="177" fontId="4" fillId="33" borderId="11" xfId="49" applyNumberFormat="1" applyFont="1" applyFill="1" applyBorder="1" applyAlignment="1">
      <alignment/>
    </xf>
    <xf numFmtId="0" fontId="4" fillId="33" borderId="19" xfId="536" applyFont="1" applyFill="1" applyBorder="1">
      <alignment/>
      <protection/>
    </xf>
    <xf numFmtId="0" fontId="4" fillId="33" borderId="28" xfId="536" applyFont="1" applyFill="1" applyBorder="1">
      <alignment/>
      <protection/>
    </xf>
    <xf numFmtId="177" fontId="4" fillId="33" borderId="13" xfId="49" applyNumberFormat="1" applyFont="1" applyFill="1" applyBorder="1" applyAlignment="1">
      <alignment/>
    </xf>
    <xf numFmtId="177" fontId="4" fillId="33" borderId="14" xfId="49" applyNumberFormat="1" applyFont="1" applyFill="1" applyBorder="1" applyAlignment="1">
      <alignment/>
    </xf>
    <xf numFmtId="0" fontId="4" fillId="0" borderId="0" xfId="536" applyFont="1">
      <alignment/>
      <protection/>
    </xf>
    <xf numFmtId="177" fontId="5" fillId="0" borderId="21" xfId="49" applyNumberFormat="1" applyFont="1" applyFill="1" applyBorder="1" applyAlignment="1">
      <alignment/>
    </xf>
    <xf numFmtId="0" fontId="62" fillId="0" borderId="0" xfId="49" applyNumberFormat="1" applyFont="1" applyAlignment="1">
      <alignment/>
    </xf>
    <xf numFmtId="10" fontId="4" fillId="33" borderId="29" xfId="547" applyNumberFormat="1" applyFont="1" applyFill="1" applyBorder="1" applyAlignment="1">
      <alignment horizontal="center"/>
    </xf>
    <xf numFmtId="10" fontId="5" fillId="0" borderId="30" xfId="547" applyNumberFormat="1" applyFont="1" applyFill="1" applyBorder="1" applyAlignment="1">
      <alignment horizontal="center"/>
    </xf>
    <xf numFmtId="10" fontId="5" fillId="0" borderId="31" xfId="547" applyNumberFormat="1" applyFont="1" applyBorder="1" applyAlignment="1">
      <alignment horizontal="center"/>
    </xf>
    <xf numFmtId="10" fontId="4" fillId="33" borderId="31" xfId="547" applyNumberFormat="1" applyFont="1" applyFill="1" applyBorder="1" applyAlignment="1">
      <alignment horizontal="center"/>
    </xf>
    <xf numFmtId="10" fontId="5" fillId="0" borderId="29" xfId="547" applyNumberFormat="1" applyFont="1" applyBorder="1" applyAlignment="1">
      <alignment horizontal="center"/>
    </xf>
    <xf numFmtId="10" fontId="5" fillId="0" borderId="32" xfId="547" applyNumberFormat="1" applyFont="1" applyBorder="1" applyAlignment="1">
      <alignment horizontal="center"/>
    </xf>
    <xf numFmtId="10" fontId="4" fillId="33" borderId="33" xfId="547" applyNumberFormat="1" applyFont="1" applyFill="1" applyBorder="1" applyAlignment="1">
      <alignment horizontal="center"/>
    </xf>
    <xf numFmtId="10" fontId="5" fillId="0" borderId="34" xfId="547" applyNumberFormat="1" applyFont="1" applyBorder="1" applyAlignment="1">
      <alignment horizontal="center"/>
    </xf>
    <xf numFmtId="10" fontId="4" fillId="33" borderId="12" xfId="547" applyNumberFormat="1" applyFont="1" applyFill="1" applyBorder="1" applyAlignment="1">
      <alignment horizontal="center"/>
    </xf>
    <xf numFmtId="10" fontId="4" fillId="33" borderId="15" xfId="547" applyNumberFormat="1" applyFont="1" applyFill="1" applyBorder="1" applyAlignment="1">
      <alignment horizontal="center"/>
    </xf>
    <xf numFmtId="10" fontId="5" fillId="0" borderId="0" xfId="547" applyNumberFormat="1" applyFont="1" applyAlignment="1">
      <alignment horizontal="center"/>
    </xf>
    <xf numFmtId="0" fontId="62" fillId="0" borderId="0" xfId="0" applyFont="1" applyAlignment="1">
      <alignment/>
    </xf>
    <xf numFmtId="10" fontId="62" fillId="0" borderId="0" xfId="547" applyNumberFormat="1" applyFont="1" applyAlignment="1">
      <alignment/>
    </xf>
    <xf numFmtId="0" fontId="0" fillId="0" borderId="0" xfId="0" applyAlignment="1">
      <alignment/>
    </xf>
    <xf numFmtId="0" fontId="62" fillId="0" borderId="0" xfId="0" applyFont="1" applyFill="1" applyAlignment="1">
      <alignment horizontal="justify" vertical="center" wrapText="1"/>
    </xf>
    <xf numFmtId="177" fontId="62" fillId="0" borderId="0" xfId="0" applyNumberFormat="1" applyFont="1" applyFill="1" applyAlignment="1">
      <alignment horizontal="justify" vertical="center" wrapText="1"/>
    </xf>
    <xf numFmtId="0" fontId="62" fillId="0" borderId="0" xfId="0" applyFont="1" applyFill="1" applyBorder="1" applyAlignment="1">
      <alignment horizontal="justify" vertical="center" wrapText="1"/>
    </xf>
    <xf numFmtId="3" fontId="62" fillId="0" borderId="0" xfId="0" applyNumberFormat="1" applyFont="1" applyFill="1" applyBorder="1" applyAlignment="1">
      <alignment horizontal="justify" vertical="center" wrapText="1"/>
    </xf>
    <xf numFmtId="10" fontId="62" fillId="0" borderId="0" xfId="547" applyNumberFormat="1" applyFont="1" applyFill="1" applyBorder="1" applyAlignment="1">
      <alignment horizontal="justify" vertical="center" wrapText="1"/>
    </xf>
    <xf numFmtId="0" fontId="62" fillId="0" borderId="0" xfId="0" applyFont="1" applyAlignment="1">
      <alignment horizontal="center" vertical="center" wrapText="1"/>
    </xf>
    <xf numFmtId="176" fontId="62" fillId="0" borderId="35" xfId="456" applyNumberFormat="1" applyFont="1" applyFill="1" applyBorder="1" applyAlignment="1">
      <alignment horizontal="center" vertical="center" wrapText="1"/>
    </xf>
    <xf numFmtId="180" fontId="62" fillId="35" borderId="36" xfId="456" applyNumberFormat="1" applyFont="1" applyFill="1" applyBorder="1" applyAlignment="1">
      <alignment horizontal="justify" vertical="center" wrapText="1"/>
    </xf>
    <xf numFmtId="0" fontId="62" fillId="0" borderId="37" xfId="0" applyFont="1" applyFill="1" applyBorder="1" applyAlignment="1">
      <alignment horizontal="center" vertical="center" wrapText="1"/>
    </xf>
    <xf numFmtId="0" fontId="62" fillId="0" borderId="0" xfId="0" applyFont="1" applyFill="1" applyAlignment="1">
      <alignment horizontal="justify" vertical="center" wrapText="1"/>
    </xf>
    <xf numFmtId="0" fontId="62" fillId="0" borderId="0" xfId="0" applyFont="1" applyAlignment="1">
      <alignment/>
    </xf>
    <xf numFmtId="173" fontId="62" fillId="0" borderId="0" xfId="0" applyNumberFormat="1" applyFont="1" applyAlignment="1">
      <alignment/>
    </xf>
    <xf numFmtId="173" fontId="62" fillId="0" borderId="38" xfId="447" applyNumberFormat="1" applyFont="1" applyFill="1" applyBorder="1" applyAlignment="1">
      <alignment horizontal="left" vertical="center" wrapText="1"/>
    </xf>
    <xf numFmtId="0" fontId="62" fillId="0" borderId="38" xfId="0" applyFont="1" applyFill="1" applyBorder="1" applyAlignment="1">
      <alignment horizontal="center" vertical="center" wrapText="1"/>
    </xf>
    <xf numFmtId="0" fontId="63" fillId="36" borderId="39" xfId="0" applyFont="1" applyFill="1" applyBorder="1" applyAlignment="1">
      <alignment horizontal="center" vertical="center" wrapText="1"/>
    </xf>
    <xf numFmtId="173" fontId="63" fillId="36" borderId="40" xfId="447" applyNumberFormat="1" applyFont="1" applyFill="1" applyBorder="1" applyAlignment="1">
      <alignment horizontal="center" vertical="center" wrapText="1"/>
    </xf>
    <xf numFmtId="0" fontId="63" fillId="36" borderId="40" xfId="0" applyFont="1" applyFill="1" applyBorder="1" applyAlignment="1">
      <alignment horizontal="center" vertical="center" wrapText="1"/>
    </xf>
    <xf numFmtId="173" fontId="63" fillId="36" borderId="41" xfId="447" applyNumberFormat="1" applyFont="1" applyFill="1" applyBorder="1" applyAlignment="1">
      <alignment horizontal="center" vertical="center" wrapText="1"/>
    </xf>
    <xf numFmtId="10" fontId="62" fillId="0" borderId="0" xfId="547" applyNumberFormat="1" applyFont="1" applyAlignment="1">
      <alignment/>
    </xf>
    <xf numFmtId="173" fontId="3" fillId="0" borderId="0" xfId="455" applyNumberFormat="1" applyFont="1" applyFill="1" applyBorder="1" applyAlignment="1">
      <alignment horizontal="justify" vertical="center" wrapText="1"/>
    </xf>
    <xf numFmtId="0" fontId="3" fillId="0" borderId="0" xfId="547" applyNumberFormat="1" applyFont="1" applyFill="1" applyBorder="1" applyAlignment="1">
      <alignment horizontal="right" vertical="center" wrapText="1"/>
    </xf>
    <xf numFmtId="10" fontId="3" fillId="0" borderId="0" xfId="547" applyNumberFormat="1" applyFont="1" applyFill="1" applyBorder="1" applyAlignment="1">
      <alignment horizontal="right" vertical="center" wrapText="1"/>
    </xf>
    <xf numFmtId="0" fontId="62" fillId="0" borderId="0" xfId="0" applyFont="1" applyFill="1" applyBorder="1" applyAlignment="1">
      <alignment horizontal="justify" vertical="center" wrapText="1"/>
    </xf>
    <xf numFmtId="3" fontId="62" fillId="0" borderId="0" xfId="0" applyNumberFormat="1" applyFont="1" applyFill="1" applyBorder="1" applyAlignment="1">
      <alignment horizontal="justify" vertical="center" wrapText="1"/>
    </xf>
    <xf numFmtId="10" fontId="62" fillId="0" borderId="0" xfId="547" applyNumberFormat="1" applyFont="1" applyFill="1" applyBorder="1" applyAlignment="1">
      <alignment horizontal="justify" vertical="center" wrapText="1"/>
    </xf>
    <xf numFmtId="0" fontId="62" fillId="0" borderId="0" xfId="0" applyFont="1" applyAlignment="1">
      <alignment horizontal="center" vertical="center" wrapText="1"/>
    </xf>
    <xf numFmtId="0" fontId="64" fillId="0" borderId="42" xfId="0" applyFont="1" applyBorder="1" applyAlignment="1">
      <alignment vertical="center" wrapText="1"/>
    </xf>
    <xf numFmtId="173" fontId="62" fillId="0" borderId="42" xfId="447" applyNumberFormat="1" applyFont="1" applyFill="1" applyBorder="1" applyAlignment="1">
      <alignment horizontal="left" vertical="center" wrapText="1"/>
    </xf>
    <xf numFmtId="0" fontId="62" fillId="0" borderId="42" xfId="0" applyFont="1" applyFill="1" applyBorder="1" applyAlignment="1">
      <alignment horizontal="center" vertical="center" wrapText="1"/>
    </xf>
    <xf numFmtId="173" fontId="62" fillId="0" borderId="42" xfId="447" applyNumberFormat="1" applyFont="1" applyFill="1" applyBorder="1" applyAlignment="1">
      <alignment horizontal="right" vertical="center" wrapText="1"/>
    </xf>
    <xf numFmtId="0" fontId="62" fillId="0" borderId="43" xfId="0" applyFont="1" applyFill="1" applyBorder="1" applyAlignment="1">
      <alignment horizontal="justify" vertical="center" wrapText="1"/>
    </xf>
    <xf numFmtId="0" fontId="64" fillId="0" borderId="38" xfId="0" applyFont="1" applyBorder="1" applyAlignment="1">
      <alignment vertical="center" wrapText="1"/>
    </xf>
    <xf numFmtId="173" fontId="62" fillId="0" borderId="38" xfId="447" applyNumberFormat="1" applyFont="1" applyFill="1" applyBorder="1" applyAlignment="1">
      <alignment horizontal="right" vertical="center" wrapText="1"/>
    </xf>
    <xf numFmtId="0" fontId="62" fillId="0" borderId="44" xfId="0" applyFont="1" applyFill="1" applyBorder="1" applyAlignment="1">
      <alignment horizontal="justify" vertical="center" wrapText="1"/>
    </xf>
    <xf numFmtId="0" fontId="62" fillId="35" borderId="35" xfId="0" applyFont="1" applyFill="1" applyBorder="1" applyAlignment="1">
      <alignment horizontal="left" vertical="center" wrapText="1"/>
    </xf>
    <xf numFmtId="3" fontId="62" fillId="0" borderId="35" xfId="455" applyNumberFormat="1" applyFont="1" applyFill="1" applyBorder="1" applyAlignment="1">
      <alignment horizontal="center" vertical="center" wrapText="1"/>
    </xf>
    <xf numFmtId="0" fontId="62" fillId="0" borderId="35" xfId="455" applyNumberFormat="1" applyFont="1" applyFill="1" applyBorder="1" applyAlignment="1">
      <alignment horizontal="center" vertical="center" wrapText="1"/>
    </xf>
    <xf numFmtId="0" fontId="64" fillId="35" borderId="38" xfId="0" applyFont="1" applyFill="1" applyBorder="1" applyAlignment="1">
      <alignment horizontal="left" vertical="center" wrapText="1"/>
    </xf>
    <xf numFmtId="179" fontId="62" fillId="35" borderId="38" xfId="455" applyNumberFormat="1" applyFont="1" applyFill="1" applyBorder="1" applyAlignment="1">
      <alignment horizontal="center" vertical="center" wrapText="1"/>
    </xf>
    <xf numFmtId="3" fontId="62" fillId="35" borderId="38" xfId="0" applyNumberFormat="1" applyFont="1" applyFill="1" applyBorder="1" applyAlignment="1">
      <alignment horizontal="center" vertical="center"/>
    </xf>
    <xf numFmtId="0" fontId="62" fillId="35" borderId="38" xfId="0" applyFont="1" applyFill="1" applyBorder="1" applyAlignment="1">
      <alignment horizontal="center" vertical="center" wrapText="1"/>
    </xf>
    <xf numFmtId="42" fontId="3" fillId="35" borderId="38" xfId="449" applyFont="1" applyFill="1" applyBorder="1" applyAlignment="1">
      <alignment horizontal="center" vertical="center" wrapText="1"/>
    </xf>
    <xf numFmtId="49" fontId="62" fillId="0" borderId="44" xfId="0" applyNumberFormat="1" applyFont="1" applyFill="1" applyBorder="1" applyAlignment="1">
      <alignment horizontal="justify" vertical="center" wrapText="1"/>
    </xf>
    <xf numFmtId="0" fontId="65" fillId="0" borderId="37" xfId="0" applyFont="1" applyBorder="1" applyAlignment="1">
      <alignment horizontal="center" vertical="center" wrapText="1"/>
    </xf>
    <xf numFmtId="0" fontId="65" fillId="0" borderId="0" xfId="0" applyFont="1" applyAlignment="1">
      <alignment vertical="center"/>
    </xf>
    <xf numFmtId="0" fontId="63" fillId="36" borderId="45" xfId="0" applyFont="1" applyFill="1" applyBorder="1" applyAlignment="1">
      <alignment horizontal="center" vertical="center" wrapText="1"/>
    </xf>
    <xf numFmtId="0" fontId="65" fillId="0" borderId="35" xfId="0" applyFont="1" applyBorder="1" applyAlignment="1">
      <alignment horizontal="center" vertical="center" wrapText="1"/>
    </xf>
    <xf numFmtId="173" fontId="3" fillId="0" borderId="35" xfId="447" applyNumberFormat="1" applyFont="1" applyFill="1" applyBorder="1" applyAlignment="1">
      <alignment horizontal="justify" vertical="center" wrapText="1"/>
    </xf>
    <xf numFmtId="0" fontId="64" fillId="35" borderId="46" xfId="0" applyFont="1" applyFill="1" applyBorder="1" applyAlignment="1">
      <alignment horizontal="left" vertical="center" wrapText="1"/>
    </xf>
    <xf numFmtId="179" fontId="62" fillId="35" borderId="46" xfId="455" applyNumberFormat="1" applyFont="1" applyFill="1" applyBorder="1" applyAlignment="1">
      <alignment horizontal="center" vertical="center" wrapText="1"/>
    </xf>
    <xf numFmtId="3" fontId="62" fillId="35" borderId="46" xfId="0" applyNumberFormat="1" applyFont="1" applyFill="1" applyBorder="1" applyAlignment="1">
      <alignment horizontal="center" vertical="center"/>
    </xf>
    <xf numFmtId="0" fontId="62" fillId="35" borderId="46" xfId="0" applyFont="1" applyFill="1" applyBorder="1" applyAlignment="1">
      <alignment horizontal="center" vertical="center" wrapText="1"/>
    </xf>
    <xf numFmtId="42" fontId="3" fillId="35" borderId="46" xfId="449" applyFont="1" applyFill="1" applyBorder="1" applyAlignment="1">
      <alignment horizontal="center" vertical="center" wrapText="1"/>
    </xf>
    <xf numFmtId="49" fontId="62" fillId="0" borderId="47" xfId="0" applyNumberFormat="1" applyFont="1" applyFill="1" applyBorder="1" applyAlignment="1">
      <alignment horizontal="justify" vertical="center" wrapText="1"/>
    </xf>
    <xf numFmtId="0" fontId="62" fillId="0" borderId="35" xfId="0" applyFont="1" applyFill="1" applyBorder="1" applyAlignment="1">
      <alignment horizontal="center" vertical="center" wrapText="1"/>
    </xf>
    <xf numFmtId="0" fontId="3" fillId="0" borderId="35" xfId="0" applyFont="1" applyBorder="1" applyAlignment="1">
      <alignment horizontal="left" vertical="center" wrapText="1"/>
    </xf>
    <xf numFmtId="173" fontId="62" fillId="0" borderId="35" xfId="447" applyNumberFormat="1" applyFont="1" applyFill="1" applyBorder="1" applyAlignment="1">
      <alignment horizontal="left" vertical="center" wrapText="1"/>
    </xf>
    <xf numFmtId="3" fontId="62" fillId="0" borderId="35" xfId="0" applyNumberFormat="1" applyFont="1" applyFill="1" applyBorder="1" applyAlignment="1">
      <alignment horizontal="center" vertical="center" wrapText="1"/>
    </xf>
    <xf numFmtId="0" fontId="62" fillId="35" borderId="36" xfId="0" applyFont="1" applyFill="1" applyBorder="1" applyAlignment="1">
      <alignment horizontal="justify" vertical="top" wrapText="1"/>
    </xf>
    <xf numFmtId="0" fontId="62" fillId="0" borderId="46" xfId="0" applyFont="1" applyFill="1" applyBorder="1" applyAlignment="1">
      <alignment horizontal="center" vertical="center" wrapText="1"/>
    </xf>
    <xf numFmtId="173" fontId="63" fillId="0" borderId="33" xfId="0" applyNumberFormat="1" applyFont="1" applyBorder="1" applyAlignment="1">
      <alignment/>
    </xf>
    <xf numFmtId="0" fontId="63" fillId="0" borderId="48" xfId="0" applyFont="1" applyBorder="1" applyAlignment="1">
      <alignment/>
    </xf>
    <xf numFmtId="168" fontId="5" fillId="0" borderId="0" xfId="49" applyFont="1" applyFill="1" applyAlignment="1">
      <alignment/>
    </xf>
    <xf numFmtId="177" fontId="5" fillId="0" borderId="0" xfId="49" applyNumberFormat="1" applyFont="1" applyFill="1" applyAlignment="1">
      <alignment/>
    </xf>
    <xf numFmtId="0" fontId="5" fillId="0" borderId="0" xfId="536" applyFont="1" applyFill="1">
      <alignment/>
      <protection/>
    </xf>
    <xf numFmtId="10" fontId="5" fillId="0" borderId="0" xfId="547" applyNumberFormat="1" applyFont="1" applyFill="1" applyAlignment="1">
      <alignment/>
    </xf>
    <xf numFmtId="174" fontId="5" fillId="0" borderId="0" xfId="536" applyNumberFormat="1" applyFont="1" applyFill="1">
      <alignment/>
      <protection/>
    </xf>
    <xf numFmtId="177" fontId="5" fillId="0" borderId="0" xfId="536" applyNumberFormat="1" applyFont="1" applyFill="1">
      <alignment/>
      <protection/>
    </xf>
    <xf numFmtId="176" fontId="5" fillId="0" borderId="0" xfId="536" applyNumberFormat="1" applyFont="1" applyFill="1">
      <alignment/>
      <protection/>
    </xf>
    <xf numFmtId="166" fontId="5" fillId="0" borderId="0" xfId="536" applyNumberFormat="1" applyFont="1" applyFill="1">
      <alignment/>
      <protection/>
    </xf>
    <xf numFmtId="177" fontId="5" fillId="0" borderId="20" xfId="49" applyNumberFormat="1" applyFont="1" applyFill="1" applyBorder="1" applyAlignment="1">
      <alignment/>
    </xf>
    <xf numFmtId="177" fontId="5" fillId="0" borderId="20" xfId="49" applyNumberFormat="1" applyFont="1" applyFill="1" applyBorder="1" applyAlignment="1">
      <alignment/>
    </xf>
    <xf numFmtId="177" fontId="5" fillId="0" borderId="21" xfId="49" applyNumberFormat="1" applyFont="1" applyFill="1" applyBorder="1" applyAlignment="1">
      <alignment/>
    </xf>
    <xf numFmtId="10" fontId="5" fillId="0" borderId="31" xfId="547" applyNumberFormat="1" applyFont="1" applyFill="1" applyBorder="1" applyAlignment="1">
      <alignment horizontal="center"/>
    </xf>
    <xf numFmtId="181" fontId="5" fillId="0" borderId="0" xfId="536" applyNumberFormat="1" applyFont="1" applyFill="1">
      <alignment/>
      <protection/>
    </xf>
    <xf numFmtId="43" fontId="5" fillId="0" borderId="0" xfId="536" applyNumberFormat="1" applyFont="1" applyFill="1">
      <alignment/>
      <protection/>
    </xf>
    <xf numFmtId="181" fontId="4" fillId="0" borderId="0" xfId="51" applyNumberFormat="1" applyFont="1" applyBorder="1" applyAlignment="1">
      <alignment horizontal="center"/>
    </xf>
    <xf numFmtId="181" fontId="4" fillId="0" borderId="10" xfId="51" applyNumberFormat="1" applyFont="1" applyFill="1" applyBorder="1" applyAlignment="1">
      <alignment horizontal="center" vertical="center"/>
    </xf>
    <xf numFmtId="181" fontId="4" fillId="0" borderId="13" xfId="51" applyNumberFormat="1" applyFont="1" applyFill="1" applyBorder="1" applyAlignment="1">
      <alignment horizontal="center" vertical="center" wrapText="1"/>
    </xf>
    <xf numFmtId="181" fontId="4" fillId="33" borderId="17" xfId="51" applyNumberFormat="1" applyFont="1" applyFill="1" applyBorder="1" applyAlignment="1">
      <alignment/>
    </xf>
    <xf numFmtId="181" fontId="5" fillId="0" borderId="20" xfId="51" applyNumberFormat="1" applyFont="1" applyFill="1" applyBorder="1" applyAlignment="1">
      <alignment/>
    </xf>
    <xf numFmtId="181" fontId="4" fillId="33" borderId="20" xfId="51" applyNumberFormat="1" applyFont="1" applyFill="1" applyBorder="1" applyAlignment="1">
      <alignment/>
    </xf>
    <xf numFmtId="181" fontId="5" fillId="34" borderId="20" xfId="51" applyNumberFormat="1" applyFont="1" applyFill="1" applyBorder="1" applyAlignment="1">
      <alignment/>
    </xf>
    <xf numFmtId="181" fontId="5" fillId="0" borderId="20" xfId="51" applyNumberFormat="1" applyFont="1" applyBorder="1" applyAlignment="1">
      <alignment/>
    </xf>
    <xf numFmtId="181" fontId="4" fillId="33" borderId="20" xfId="51" applyNumberFormat="1" applyFont="1" applyFill="1" applyBorder="1" applyAlignment="1">
      <alignment/>
    </xf>
    <xf numFmtId="3" fontId="5" fillId="0" borderId="19" xfId="536" applyNumberFormat="1" applyFont="1" applyBorder="1" applyAlignment="1">
      <alignment horizontal="left" indent="2"/>
      <protection/>
    </xf>
    <xf numFmtId="181" fontId="5" fillId="0" borderId="23" xfId="51" applyNumberFormat="1" applyFont="1" applyBorder="1" applyAlignment="1">
      <alignment/>
    </xf>
    <xf numFmtId="181" fontId="4" fillId="33" borderId="25" xfId="51" applyNumberFormat="1" applyFont="1" applyFill="1" applyBorder="1" applyAlignment="1">
      <alignment/>
    </xf>
    <xf numFmtId="181" fontId="5" fillId="0" borderId="17" xfId="51" applyNumberFormat="1" applyFont="1" applyBorder="1" applyAlignment="1">
      <alignment/>
    </xf>
    <xf numFmtId="181" fontId="5" fillId="0" borderId="20" xfId="51" applyNumberFormat="1" applyFont="1" applyFill="1" applyBorder="1" applyAlignment="1">
      <alignment/>
    </xf>
    <xf numFmtId="181" fontId="5" fillId="34" borderId="20" xfId="51" applyNumberFormat="1" applyFont="1" applyFill="1" applyBorder="1" applyAlignment="1">
      <alignment/>
    </xf>
    <xf numFmtId="181" fontId="4" fillId="33" borderId="10" xfId="51" applyNumberFormat="1" applyFont="1" applyFill="1" applyBorder="1" applyAlignment="1">
      <alignment/>
    </xf>
    <xf numFmtId="181" fontId="4" fillId="33" borderId="13" xfId="51" applyNumberFormat="1" applyFont="1" applyFill="1" applyBorder="1" applyAlignment="1">
      <alignment/>
    </xf>
    <xf numFmtId="181" fontId="5" fillId="0" borderId="0" xfId="51" applyNumberFormat="1" applyFont="1" applyAlignment="1">
      <alignment/>
    </xf>
    <xf numFmtId="177" fontId="5" fillId="0" borderId="0" xfId="547" applyNumberFormat="1" applyFont="1" applyAlignment="1">
      <alignment horizontal="center"/>
    </xf>
    <xf numFmtId="42" fontId="5" fillId="0" borderId="0" xfId="536" applyNumberFormat="1" applyFont="1" applyFill="1">
      <alignment/>
      <protection/>
    </xf>
    <xf numFmtId="41" fontId="4" fillId="0" borderId="0" xfId="50" applyNumberFormat="1" applyFont="1" applyBorder="1" applyAlignment="1">
      <alignment horizontal="center"/>
    </xf>
    <xf numFmtId="41" fontId="4" fillId="0" borderId="12" xfId="50" applyNumberFormat="1" applyFont="1" applyFill="1" applyBorder="1" applyAlignment="1">
      <alignment horizontal="center" vertical="center"/>
    </xf>
    <xf numFmtId="41" fontId="4" fillId="0" borderId="15" xfId="50" applyNumberFormat="1" applyFont="1" applyFill="1" applyBorder="1" applyAlignment="1">
      <alignment horizontal="center" vertical="center"/>
    </xf>
    <xf numFmtId="41" fontId="4" fillId="33" borderId="29" xfId="50" applyNumberFormat="1" applyFont="1" applyFill="1" applyBorder="1" applyAlignment="1">
      <alignment/>
    </xf>
    <xf numFmtId="41" fontId="5" fillId="0" borderId="30" xfId="50" applyNumberFormat="1" applyFont="1" applyFill="1" applyBorder="1" applyAlignment="1">
      <alignment/>
    </xf>
    <xf numFmtId="41" fontId="5" fillId="0" borderId="31" xfId="50" applyNumberFormat="1" applyFont="1" applyFill="1" applyBorder="1" applyAlignment="1">
      <alignment/>
    </xf>
    <xf numFmtId="41" fontId="4" fillId="33" borderId="31" xfId="50" applyNumberFormat="1" applyFont="1" applyFill="1" applyBorder="1" applyAlignment="1">
      <alignment/>
    </xf>
    <xf numFmtId="41" fontId="5" fillId="0" borderId="31" xfId="50" applyNumberFormat="1" applyFont="1" applyBorder="1" applyAlignment="1">
      <alignment/>
    </xf>
    <xf numFmtId="41" fontId="5" fillId="0" borderId="29" xfId="50" applyNumberFormat="1" applyFont="1" applyBorder="1" applyAlignment="1">
      <alignment/>
    </xf>
    <xf numFmtId="41" fontId="5" fillId="0" borderId="32" xfId="50" applyNumberFormat="1" applyFont="1" applyBorder="1" applyAlignment="1">
      <alignment/>
    </xf>
    <xf numFmtId="41" fontId="4" fillId="33" borderId="31" xfId="50" applyNumberFormat="1" applyFont="1" applyFill="1" applyBorder="1" applyAlignment="1">
      <alignment/>
    </xf>
    <xf numFmtId="41" fontId="5" fillId="0" borderId="32" xfId="50" applyNumberFormat="1" applyFont="1" applyFill="1" applyBorder="1" applyAlignment="1">
      <alignment/>
    </xf>
    <xf numFmtId="41" fontId="4" fillId="33" borderId="33" xfId="50" applyNumberFormat="1" applyFont="1" applyFill="1" applyBorder="1" applyAlignment="1">
      <alignment/>
    </xf>
    <xf numFmtId="41" fontId="5" fillId="0" borderId="17" xfId="50" applyNumberFormat="1" applyFont="1" applyBorder="1" applyAlignment="1">
      <alignment/>
    </xf>
    <xf numFmtId="41" fontId="5" fillId="0" borderId="29" xfId="50" applyNumberFormat="1" applyFont="1" applyBorder="1" applyAlignment="1">
      <alignment/>
    </xf>
    <xf numFmtId="41" fontId="5" fillId="0" borderId="31" xfId="50" applyNumberFormat="1" applyFont="1" applyBorder="1" applyAlignment="1">
      <alignment/>
    </xf>
    <xf numFmtId="41" fontId="5" fillId="0" borderId="31" xfId="50" applyNumberFormat="1" applyFont="1" applyFill="1" applyBorder="1" applyAlignment="1">
      <alignment/>
    </xf>
    <xf numFmtId="41" fontId="5" fillId="0" borderId="32" xfId="50" applyNumberFormat="1" applyFont="1" applyBorder="1" applyAlignment="1">
      <alignment/>
    </xf>
    <xf numFmtId="41" fontId="5" fillId="0" borderId="29" xfId="50" applyNumberFormat="1" applyFont="1" applyFill="1" applyBorder="1" applyAlignment="1">
      <alignment/>
    </xf>
    <xf numFmtId="41" fontId="4" fillId="33" borderId="12" xfId="50" applyNumberFormat="1" applyFont="1" applyFill="1" applyBorder="1" applyAlignment="1">
      <alignment/>
    </xf>
    <xf numFmtId="41" fontId="4" fillId="33" borderId="21" xfId="50" applyNumberFormat="1" applyFont="1" applyFill="1" applyBorder="1" applyAlignment="1">
      <alignment/>
    </xf>
    <xf numFmtId="41" fontId="4" fillId="33" borderId="15" xfId="50" applyNumberFormat="1" applyFont="1" applyFill="1" applyBorder="1" applyAlignment="1">
      <alignment/>
    </xf>
    <xf numFmtId="41" fontId="5" fillId="0" borderId="0" xfId="50" applyNumberFormat="1" applyFont="1" applyAlignment="1">
      <alignment/>
    </xf>
    <xf numFmtId="0" fontId="4" fillId="0" borderId="0" xfId="536" applyFont="1" applyBorder="1" applyAlignment="1">
      <alignment horizontal="center"/>
      <protection/>
    </xf>
    <xf numFmtId="41" fontId="66" fillId="0" borderId="0" xfId="50" applyNumberFormat="1" applyFont="1" applyAlignment="1">
      <alignment/>
    </xf>
    <xf numFmtId="176" fontId="67" fillId="0" borderId="0" xfId="0" applyNumberFormat="1" applyFont="1" applyFill="1" applyBorder="1" applyAlignment="1">
      <alignment/>
    </xf>
    <xf numFmtId="9" fontId="5" fillId="0" borderId="0" xfId="547" applyFont="1" applyAlignment="1">
      <alignment/>
    </xf>
    <xf numFmtId="0" fontId="5" fillId="0" borderId="0" xfId="536" applyFont="1" applyBorder="1">
      <alignment/>
      <protection/>
    </xf>
    <xf numFmtId="0" fontId="5" fillId="0" borderId="49" xfId="536" applyFont="1" applyBorder="1">
      <alignment/>
      <protection/>
    </xf>
    <xf numFmtId="0" fontId="66" fillId="0" borderId="0" xfId="0" applyFont="1" applyAlignment="1">
      <alignment/>
    </xf>
    <xf numFmtId="177" fontId="66" fillId="0" borderId="0" xfId="49" applyNumberFormat="1" applyFont="1" applyAlignment="1">
      <alignment/>
    </xf>
    <xf numFmtId="10" fontId="66" fillId="0" borderId="0" xfId="547" applyNumberFormat="1" applyFont="1" applyAlignment="1">
      <alignment/>
    </xf>
    <xf numFmtId="0" fontId="5" fillId="0" borderId="0" xfId="0" applyFont="1" applyAlignment="1">
      <alignment vertical="center"/>
    </xf>
    <xf numFmtId="0" fontId="67" fillId="36" borderId="39" xfId="0" applyFont="1" applyFill="1" applyBorder="1" applyAlignment="1">
      <alignment horizontal="center" vertical="center" wrapText="1"/>
    </xf>
    <xf numFmtId="0" fontId="67" fillId="36" borderId="40" xfId="0" applyFont="1" applyFill="1" applyBorder="1" applyAlignment="1">
      <alignment horizontal="center" vertical="center" wrapText="1"/>
    </xf>
    <xf numFmtId="0" fontId="4" fillId="37" borderId="50" xfId="544" applyFont="1" applyFill="1" applyBorder="1" applyAlignment="1">
      <alignment horizontal="left" vertical="center"/>
      <protection/>
    </xf>
    <xf numFmtId="173" fontId="5" fillId="0" borderId="49" xfId="447" applyNumberFormat="1" applyFont="1" applyFill="1" applyBorder="1" applyAlignment="1">
      <alignment horizontal="justify" vertical="center" wrapText="1"/>
    </xf>
    <xf numFmtId="0" fontId="67" fillId="0" borderId="0" xfId="0" applyFont="1" applyFill="1" applyAlignment="1">
      <alignment vertical="center" wrapText="1"/>
    </xf>
    <xf numFmtId="0" fontId="67" fillId="0" borderId="0" xfId="0" applyFont="1" applyFill="1" applyAlignment="1">
      <alignment horizontal="center" vertical="center" wrapText="1"/>
    </xf>
    <xf numFmtId="0" fontId="66" fillId="0" borderId="0" xfId="0" applyFont="1" applyAlignment="1">
      <alignment vertical="center" wrapText="1"/>
    </xf>
    <xf numFmtId="0" fontId="5" fillId="0" borderId="49" xfId="541" applyFont="1" applyBorder="1" applyAlignment="1">
      <alignment horizontal="center" vertical="center"/>
      <protection/>
    </xf>
    <xf numFmtId="177" fontId="5" fillId="0" borderId="49" xfId="49" applyNumberFormat="1" applyFont="1" applyBorder="1" applyAlignment="1">
      <alignment horizontal="left" vertical="center"/>
    </xf>
    <xf numFmtId="177" fontId="5" fillId="0" borderId="49" xfId="49" applyNumberFormat="1" applyFont="1" applyBorder="1" applyAlignment="1">
      <alignment horizontal="center" vertical="center"/>
    </xf>
    <xf numFmtId="177" fontId="5" fillId="0" borderId="49" xfId="49" applyNumberFormat="1" applyFont="1" applyBorder="1" applyAlignment="1">
      <alignment vertical="center"/>
    </xf>
    <xf numFmtId="177" fontId="66" fillId="0" borderId="0" xfId="49" applyNumberFormat="1" applyFont="1" applyAlignment="1">
      <alignment horizontal="center" vertical="center"/>
    </xf>
    <xf numFmtId="0" fontId="67" fillId="36" borderId="51" xfId="0" applyFont="1" applyFill="1" applyBorder="1" applyAlignment="1">
      <alignment horizontal="center" vertical="center" wrapText="1"/>
    </xf>
    <xf numFmtId="0" fontId="5" fillId="0" borderId="50" xfId="0" applyFont="1" applyBorder="1" applyAlignment="1">
      <alignment horizontal="left" vertical="center" wrapText="1"/>
    </xf>
    <xf numFmtId="0" fontId="4" fillId="0" borderId="49" xfId="541" applyFont="1" applyBorder="1" applyAlignment="1">
      <alignment horizontal="left" vertical="center"/>
      <protection/>
    </xf>
    <xf numFmtId="0" fontId="4" fillId="0" borderId="0" xfId="541" applyFont="1" applyAlignment="1">
      <alignment horizontal="center" vertical="center"/>
      <protection/>
    </xf>
    <xf numFmtId="0" fontId="5" fillId="0" borderId="49" xfId="541" applyFont="1" applyBorder="1" applyAlignment="1">
      <alignment horizontal="left" vertical="center"/>
      <protection/>
    </xf>
    <xf numFmtId="0" fontId="5" fillId="0" borderId="49" xfId="541" applyFont="1" applyBorder="1" applyAlignment="1">
      <alignment vertical="center"/>
      <protection/>
    </xf>
    <xf numFmtId="0" fontId="5" fillId="0" borderId="0" xfId="541" applyFont="1">
      <alignment/>
      <protection/>
    </xf>
    <xf numFmtId="3" fontId="5" fillId="0" borderId="49" xfId="541" applyNumberFormat="1" applyFont="1" applyBorder="1" applyAlignment="1">
      <alignment vertical="center"/>
      <protection/>
    </xf>
    <xf numFmtId="3" fontId="5" fillId="0" borderId="49" xfId="541" applyNumberFormat="1" applyFont="1" applyBorder="1" applyAlignment="1">
      <alignment horizontal="right" vertical="center"/>
      <protection/>
    </xf>
    <xf numFmtId="0" fontId="5" fillId="0" borderId="0" xfId="541" applyFont="1" applyAlignment="1">
      <alignment horizontal="center" vertical="center"/>
      <protection/>
    </xf>
    <xf numFmtId="0" fontId="5" fillId="0" borderId="0" xfId="541" applyFont="1" applyAlignment="1">
      <alignment vertical="center"/>
      <protection/>
    </xf>
    <xf numFmtId="0" fontId="5" fillId="0" borderId="49" xfId="541" applyFont="1" applyBorder="1" applyAlignment="1">
      <alignment horizontal="right" vertical="center"/>
      <protection/>
    </xf>
    <xf numFmtId="178" fontId="66" fillId="0" borderId="49" xfId="160" applyNumberFormat="1" applyFont="1" applyBorder="1" applyAlignment="1">
      <alignment horizontal="right" vertical="center"/>
    </xf>
    <xf numFmtId="168" fontId="5" fillId="0" borderId="0" xfId="312" applyFont="1" applyBorder="1" applyAlignment="1">
      <alignment horizontal="center"/>
    </xf>
    <xf numFmtId="178" fontId="4" fillId="0" borderId="49" xfId="160" applyNumberFormat="1" applyFont="1" applyBorder="1" applyAlignment="1">
      <alignment vertical="center"/>
    </xf>
    <xf numFmtId="43" fontId="4" fillId="0" borderId="0" xfId="541" applyNumberFormat="1" applyFont="1" applyAlignment="1">
      <alignment horizontal="center"/>
      <protection/>
    </xf>
    <xf numFmtId="0" fontId="4" fillId="0" borderId="0" xfId="541" applyFont="1">
      <alignment/>
      <protection/>
    </xf>
    <xf numFmtId="0" fontId="5" fillId="0" borderId="0" xfId="541" applyFont="1" applyAlignment="1">
      <alignment horizontal="left" vertical="center"/>
      <protection/>
    </xf>
    <xf numFmtId="177" fontId="5" fillId="0" borderId="0" xfId="312" applyNumberFormat="1" applyFont="1" applyAlignment="1">
      <alignment vertical="center"/>
    </xf>
    <xf numFmtId="0" fontId="5" fillId="0" borderId="0" xfId="541" applyFont="1" applyAlignment="1">
      <alignment horizontal="center"/>
      <protection/>
    </xf>
    <xf numFmtId="177" fontId="5" fillId="0" borderId="0" xfId="312" applyNumberFormat="1" applyFont="1" applyAlignment="1">
      <alignment horizontal="left" vertical="center"/>
    </xf>
    <xf numFmtId="177" fontId="5" fillId="0" borderId="0" xfId="541" applyNumberFormat="1" applyFont="1" applyAlignment="1">
      <alignment horizontal="center"/>
      <protection/>
    </xf>
    <xf numFmtId="0" fontId="5" fillId="35" borderId="50" xfId="0" applyFont="1" applyFill="1" applyBorder="1" applyAlignment="1">
      <alignment horizontal="left" vertical="center" wrapText="1"/>
    </xf>
    <xf numFmtId="0" fontId="5" fillId="35" borderId="50" xfId="0" applyFont="1" applyFill="1" applyBorder="1" applyAlignment="1">
      <alignment vertical="center" wrapText="1"/>
    </xf>
    <xf numFmtId="0" fontId="67" fillId="0" borderId="0" xfId="0" applyFont="1" applyAlignment="1">
      <alignment/>
    </xf>
    <xf numFmtId="0" fontId="66" fillId="38" borderId="52" xfId="0" applyFont="1" applyFill="1" applyBorder="1" applyAlignment="1">
      <alignment horizontal="center" vertical="center"/>
    </xf>
    <xf numFmtId="0" fontId="66" fillId="0" borderId="49" xfId="0" applyFont="1" applyBorder="1" applyAlignment="1">
      <alignment horizontal="center" vertical="center"/>
    </xf>
    <xf numFmtId="0" fontId="66" fillId="0" borderId="49" xfId="0" applyFont="1" applyBorder="1" applyAlignment="1">
      <alignment horizontal="center" vertical="center" wrapText="1"/>
    </xf>
    <xf numFmtId="0" fontId="66" fillId="0" borderId="0" xfId="0" applyFont="1" applyBorder="1" applyAlignment="1">
      <alignment/>
    </xf>
    <xf numFmtId="0" fontId="66" fillId="0" borderId="0" xfId="0" applyFont="1" applyFill="1" applyBorder="1" applyAlignment="1">
      <alignment horizontal="left" vertical="center"/>
    </xf>
    <xf numFmtId="0" fontId="4" fillId="36" borderId="39" xfId="0" applyFont="1" applyFill="1" applyBorder="1" applyAlignment="1">
      <alignment horizontal="center" vertical="center" wrapText="1"/>
    </xf>
    <xf numFmtId="0" fontId="5" fillId="35" borderId="53" xfId="544" applyFont="1" applyFill="1" applyBorder="1" applyAlignment="1">
      <alignment horizontal="left" vertical="center"/>
      <protection/>
    </xf>
    <xf numFmtId="42" fontId="5" fillId="35" borderId="54" xfId="449" applyFont="1" applyFill="1" applyBorder="1" applyAlignment="1">
      <alignment horizontal="center" vertical="center"/>
    </xf>
    <xf numFmtId="3" fontId="5" fillId="35" borderId="54" xfId="0" applyNumberFormat="1" applyFont="1" applyFill="1" applyBorder="1" applyAlignment="1">
      <alignment horizontal="center" vertical="center"/>
    </xf>
    <xf numFmtId="0" fontId="5" fillId="35" borderId="54" xfId="544" applyFont="1" applyFill="1" applyBorder="1" applyAlignment="1">
      <alignment horizontal="center" vertical="center" wrapText="1"/>
      <protection/>
    </xf>
    <xf numFmtId="42" fontId="5" fillId="35" borderId="54" xfId="0" applyNumberFormat="1" applyFont="1" applyFill="1" applyBorder="1" applyAlignment="1">
      <alignment horizontal="center" vertical="center"/>
    </xf>
    <xf numFmtId="175" fontId="67" fillId="36" borderId="55" xfId="529" applyNumberFormat="1" applyFont="1" applyFill="1" applyBorder="1" applyAlignment="1">
      <alignment horizontal="center" vertical="center" wrapText="1"/>
    </xf>
    <xf numFmtId="0" fontId="67" fillId="36" borderId="55" xfId="0" applyFont="1" applyFill="1" applyBorder="1" applyAlignment="1">
      <alignment horizontal="center" vertical="center" wrapText="1"/>
    </xf>
    <xf numFmtId="173" fontId="67" fillId="36" borderId="55" xfId="529" applyNumberFormat="1" applyFont="1" applyFill="1" applyBorder="1" applyAlignment="1">
      <alignment horizontal="center" vertical="center" wrapText="1"/>
    </xf>
    <xf numFmtId="10" fontId="67" fillId="36" borderId="56" xfId="547" applyNumberFormat="1" applyFont="1" applyFill="1" applyBorder="1" applyAlignment="1">
      <alignment horizontal="center" vertical="center" wrapText="1"/>
    </xf>
    <xf numFmtId="0" fontId="66" fillId="0" borderId="57" xfId="0" applyFont="1" applyFill="1" applyBorder="1" applyAlignment="1">
      <alignment horizontal="left" vertical="center" wrapText="1"/>
    </xf>
    <xf numFmtId="0" fontId="67" fillId="0" borderId="51" xfId="0" applyFont="1" applyFill="1" applyBorder="1" applyAlignment="1">
      <alignment horizontal="left" vertical="center" wrapText="1"/>
    </xf>
    <xf numFmtId="173" fontId="67" fillId="0" borderId="55" xfId="456" applyNumberFormat="1" applyFont="1" applyFill="1" applyBorder="1" applyAlignment="1">
      <alignment horizontal="justify" vertical="center" wrapText="1"/>
    </xf>
    <xf numFmtId="0" fontId="67" fillId="0" borderId="55" xfId="0" applyFont="1" applyFill="1" applyBorder="1" applyAlignment="1">
      <alignment horizontal="center" vertical="center" wrapText="1"/>
    </xf>
    <xf numFmtId="173" fontId="67" fillId="0" borderId="55" xfId="0" applyNumberFormat="1" applyFont="1" applyFill="1" applyBorder="1" applyAlignment="1">
      <alignment horizontal="center" vertical="center" wrapText="1"/>
    </xf>
    <xf numFmtId="173" fontId="67" fillId="0" borderId="55" xfId="456" applyNumberFormat="1" applyFont="1" applyFill="1" applyBorder="1" applyAlignment="1">
      <alignment horizontal="left" vertical="center" wrapText="1"/>
    </xf>
    <xf numFmtId="0" fontId="67" fillId="0" borderId="56" xfId="0" applyFont="1" applyBorder="1" applyAlignment="1">
      <alignment horizontal="justify" vertical="center" wrapText="1"/>
    </xf>
    <xf numFmtId="0" fontId="5" fillId="0" borderId="58" xfId="0" applyFont="1" applyBorder="1" applyAlignment="1">
      <alignment horizontal="justify" vertical="center" wrapText="1"/>
    </xf>
    <xf numFmtId="0" fontId="4" fillId="36" borderId="37" xfId="544" applyFont="1" applyFill="1" applyBorder="1" applyAlignment="1">
      <alignment horizontal="left" vertical="center"/>
      <protection/>
    </xf>
    <xf numFmtId="177" fontId="66" fillId="0" borderId="0" xfId="59" applyNumberFormat="1" applyFont="1" applyAlignment="1">
      <alignment/>
    </xf>
    <xf numFmtId="0" fontId="67" fillId="0" borderId="0" xfId="539" applyFont="1" applyAlignment="1">
      <alignment vertical="center" wrapText="1"/>
      <protection/>
    </xf>
    <xf numFmtId="0" fontId="66" fillId="0" borderId="0" xfId="539" applyFont="1">
      <alignment/>
      <protection/>
    </xf>
    <xf numFmtId="10" fontId="66" fillId="0" borderId="0" xfId="552" applyNumberFormat="1" applyFont="1" applyAlignment="1">
      <alignment/>
    </xf>
    <xf numFmtId="0" fontId="66" fillId="0" borderId="49" xfId="539" applyFont="1" applyBorder="1" applyAlignment="1">
      <alignment horizontal="center" vertical="center" wrapText="1"/>
      <protection/>
    </xf>
    <xf numFmtId="0" fontId="67" fillId="0" borderId="0" xfId="539" applyFont="1">
      <alignment/>
      <protection/>
    </xf>
    <xf numFmtId="0" fontId="66" fillId="38" borderId="52" xfId="539" applyFont="1" applyFill="1" applyBorder="1" applyAlignment="1">
      <alignment horizontal="center" vertical="center"/>
      <protection/>
    </xf>
    <xf numFmtId="0" fontId="66" fillId="0" borderId="49" xfId="539" applyFont="1" applyBorder="1" applyAlignment="1">
      <alignment horizontal="center" vertical="center"/>
      <protection/>
    </xf>
    <xf numFmtId="0" fontId="66" fillId="0" borderId="49" xfId="539" applyFont="1" applyBorder="1" applyAlignment="1">
      <alignment horizontal="center" vertical="top" wrapText="1"/>
      <protection/>
    </xf>
    <xf numFmtId="0" fontId="66" fillId="0" borderId="0" xfId="539" applyFont="1" applyAlignment="1">
      <alignment horizontal="left" vertical="center"/>
      <protection/>
    </xf>
    <xf numFmtId="0" fontId="66" fillId="38" borderId="49" xfId="539" applyFont="1" applyFill="1" applyBorder="1" applyAlignment="1">
      <alignment horizontal="center" vertical="center"/>
      <protection/>
    </xf>
    <xf numFmtId="0" fontId="66" fillId="0" borderId="49" xfId="539" applyFont="1" applyBorder="1" applyAlignment="1">
      <alignment horizontal="center"/>
      <protection/>
    </xf>
    <xf numFmtId="0" fontId="67" fillId="36" borderId="39" xfId="539" applyFont="1" applyFill="1" applyBorder="1" applyAlignment="1">
      <alignment horizontal="center" vertical="center" wrapText="1"/>
      <protection/>
    </xf>
    <xf numFmtId="175" fontId="67" fillId="36" borderId="40" xfId="529" applyNumberFormat="1" applyFont="1" applyFill="1" applyBorder="1" applyAlignment="1">
      <alignment horizontal="center" vertical="center" wrapText="1"/>
    </xf>
    <xf numFmtId="0" fontId="67" fillId="36" borderId="40" xfId="539" applyFont="1" applyFill="1" applyBorder="1" applyAlignment="1">
      <alignment horizontal="center" vertical="center" wrapText="1"/>
      <protection/>
    </xf>
    <xf numFmtId="173" fontId="67" fillId="36" borderId="40" xfId="529" applyNumberFormat="1" applyFont="1" applyFill="1" applyBorder="1" applyAlignment="1">
      <alignment horizontal="center" vertical="center" wrapText="1"/>
    </xf>
    <xf numFmtId="10" fontId="67" fillId="36" borderId="41" xfId="552" applyNumberFormat="1" applyFont="1" applyFill="1" applyBorder="1" applyAlignment="1">
      <alignment horizontal="center" vertical="center" wrapText="1"/>
    </xf>
    <xf numFmtId="173" fontId="67" fillId="0" borderId="35" xfId="456" applyNumberFormat="1" applyFont="1" applyFill="1" applyBorder="1" applyAlignment="1">
      <alignment horizontal="justify" vertical="center" wrapText="1"/>
    </xf>
    <xf numFmtId="0" fontId="67" fillId="0" borderId="35" xfId="539" applyFont="1" applyBorder="1" applyAlignment="1">
      <alignment horizontal="center" vertical="center" wrapText="1"/>
      <protection/>
    </xf>
    <xf numFmtId="173" fontId="67" fillId="0" borderId="35" xfId="539" applyNumberFormat="1" applyFont="1" applyBorder="1" applyAlignment="1">
      <alignment horizontal="center" vertical="center" wrapText="1"/>
      <protection/>
    </xf>
    <xf numFmtId="173" fontId="67" fillId="0" borderId="35" xfId="456" applyNumberFormat="1" applyFont="1" applyFill="1" applyBorder="1" applyAlignment="1">
      <alignment horizontal="left" vertical="center" wrapText="1"/>
    </xf>
    <xf numFmtId="0" fontId="67" fillId="0" borderId="36" xfId="539" applyFont="1" applyBorder="1" applyAlignment="1">
      <alignment horizontal="justify" vertical="center" wrapText="1"/>
      <protection/>
    </xf>
    <xf numFmtId="0" fontId="66" fillId="0" borderId="51" xfId="539" applyFont="1" applyBorder="1" applyAlignment="1">
      <alignment horizontal="left" vertical="center" wrapText="1"/>
      <protection/>
    </xf>
    <xf numFmtId="42" fontId="66" fillId="0" borderId="55" xfId="449" applyFont="1" applyFill="1" applyBorder="1" applyAlignment="1">
      <alignment horizontal="left" vertical="center" wrapText="1"/>
    </xf>
    <xf numFmtId="3" fontId="66" fillId="0" borderId="55" xfId="539" applyNumberFormat="1" applyFont="1" applyBorder="1" applyAlignment="1">
      <alignment horizontal="center" vertical="center" wrapText="1"/>
      <protection/>
    </xf>
    <xf numFmtId="0" fontId="66" fillId="0" borderId="55" xfId="539" applyFont="1" applyBorder="1" applyAlignment="1">
      <alignment horizontal="center" vertical="center" wrapText="1"/>
      <protection/>
    </xf>
    <xf numFmtId="0" fontId="66" fillId="0" borderId="56" xfId="539" applyFont="1" applyBorder="1" applyAlignment="1">
      <alignment horizontal="left" vertical="center" wrapText="1"/>
      <protection/>
    </xf>
    <xf numFmtId="0" fontId="67" fillId="0" borderId="37" xfId="539" applyFont="1" applyBorder="1" applyAlignment="1">
      <alignment horizontal="center" vertical="center" wrapText="1"/>
      <protection/>
    </xf>
    <xf numFmtId="10" fontId="67" fillId="36" borderId="41" xfId="547" applyNumberFormat="1" applyFont="1" applyFill="1" applyBorder="1" applyAlignment="1">
      <alignment horizontal="center" vertical="center" wrapText="1"/>
    </xf>
    <xf numFmtId="0" fontId="67" fillId="0" borderId="36" xfId="0" applyFont="1" applyBorder="1" applyAlignment="1">
      <alignment horizontal="justify" vertical="center" wrapText="1"/>
    </xf>
    <xf numFmtId="0" fontId="66" fillId="0" borderId="59" xfId="0" applyFont="1" applyFill="1" applyBorder="1" applyAlignment="1">
      <alignment horizontal="left" vertical="center" wrapText="1"/>
    </xf>
    <xf numFmtId="42" fontId="5" fillId="0" borderId="42" xfId="448" applyFont="1" applyFill="1" applyBorder="1" applyAlignment="1">
      <alignment horizontal="center" vertical="center" wrapText="1"/>
    </xf>
    <xf numFmtId="0" fontId="66" fillId="0" borderId="42" xfId="0" applyFont="1" applyFill="1" applyBorder="1" applyAlignment="1">
      <alignment horizontal="center" vertical="center" wrapText="1"/>
    </xf>
    <xf numFmtId="42" fontId="66" fillId="0" borderId="42" xfId="449" applyFont="1" applyFill="1" applyBorder="1" applyAlignment="1">
      <alignment horizontal="left" vertical="center" wrapText="1"/>
    </xf>
    <xf numFmtId="0" fontId="66" fillId="0" borderId="43" xfId="0" applyFont="1" applyFill="1" applyBorder="1" applyAlignment="1">
      <alignment horizontal="justify" vertical="center" wrapText="1"/>
    </xf>
    <xf numFmtId="0" fontId="66" fillId="0" borderId="60" xfId="0" applyFont="1" applyFill="1" applyBorder="1" applyAlignment="1">
      <alignment horizontal="left" vertical="center" wrapText="1"/>
    </xf>
    <xf numFmtId="42" fontId="66" fillId="0" borderId="38" xfId="449" applyFont="1" applyFill="1" applyBorder="1" applyAlignment="1">
      <alignment horizontal="left" vertical="center" wrapText="1"/>
    </xf>
    <xf numFmtId="0" fontId="66" fillId="0" borderId="38" xfId="0" applyFont="1" applyFill="1" applyBorder="1" applyAlignment="1">
      <alignment horizontal="center" vertical="center" wrapText="1"/>
    </xf>
    <xf numFmtId="0" fontId="66" fillId="0" borderId="44" xfId="0" applyFont="1" applyFill="1" applyBorder="1" applyAlignment="1">
      <alignment horizontal="justify" vertical="center" wrapText="1"/>
    </xf>
    <xf numFmtId="177" fontId="4" fillId="0" borderId="35" xfId="49" applyNumberFormat="1" applyFont="1" applyBorder="1" applyAlignment="1">
      <alignment horizontal="center" vertical="center"/>
    </xf>
    <xf numFmtId="177" fontId="4" fillId="0" borderId="35" xfId="49" applyNumberFormat="1" applyFont="1" applyBorder="1" applyAlignment="1">
      <alignment vertical="center"/>
    </xf>
    <xf numFmtId="0" fontId="4" fillId="0" borderId="36" xfId="541" applyFont="1" applyBorder="1" applyAlignment="1">
      <alignment horizontal="center"/>
      <protection/>
    </xf>
    <xf numFmtId="0" fontId="5" fillId="0" borderId="38" xfId="541" applyFont="1" applyBorder="1" applyAlignment="1">
      <alignment horizontal="center" vertical="center"/>
      <protection/>
    </xf>
    <xf numFmtId="177" fontId="5" fillId="0" borderId="38" xfId="49" applyNumberFormat="1" applyFont="1" applyBorder="1" applyAlignment="1">
      <alignment horizontal="center" vertical="center"/>
    </xf>
    <xf numFmtId="177" fontId="5" fillId="0" borderId="38" xfId="49" applyNumberFormat="1" applyFont="1" applyBorder="1" applyAlignment="1">
      <alignment vertical="center"/>
    </xf>
    <xf numFmtId="0" fontId="5" fillId="0" borderId="46" xfId="541" applyFont="1" applyBorder="1" applyAlignment="1">
      <alignment horizontal="center" vertical="center"/>
      <protection/>
    </xf>
    <xf numFmtId="177" fontId="5" fillId="0" borderId="46" xfId="49" applyNumberFormat="1" applyFont="1" applyBorder="1" applyAlignment="1">
      <alignment horizontal="left" vertical="center"/>
    </xf>
    <xf numFmtId="177" fontId="5" fillId="0" borderId="46" xfId="49" applyNumberFormat="1" applyFont="1" applyBorder="1" applyAlignment="1">
      <alignment horizontal="center" vertical="center"/>
    </xf>
    <xf numFmtId="177" fontId="5" fillId="0" borderId="46" xfId="49" applyNumberFormat="1" applyFont="1" applyBorder="1" applyAlignment="1">
      <alignment vertical="center"/>
    </xf>
    <xf numFmtId="0" fontId="4" fillId="0" borderId="51" xfId="541" applyFont="1" applyBorder="1" applyAlignment="1">
      <alignment horizontal="center" vertical="center" wrapText="1"/>
      <protection/>
    </xf>
    <xf numFmtId="0" fontId="4" fillId="0" borderId="55" xfId="541" applyFont="1" applyBorder="1" applyAlignment="1">
      <alignment horizontal="center" vertical="center" wrapText="1"/>
      <protection/>
    </xf>
    <xf numFmtId="177" fontId="4" fillId="0" borderId="55" xfId="49" applyNumberFormat="1" applyFont="1" applyBorder="1" applyAlignment="1">
      <alignment horizontal="center" vertical="center" wrapText="1"/>
    </xf>
    <xf numFmtId="0" fontId="4" fillId="0" borderId="56" xfId="541" applyFont="1" applyBorder="1" applyAlignment="1">
      <alignment horizontal="center" vertical="center" wrapText="1"/>
      <protection/>
    </xf>
    <xf numFmtId="173" fontId="4" fillId="36" borderId="42" xfId="447" applyNumberFormat="1" applyFont="1" applyFill="1" applyBorder="1" applyAlignment="1">
      <alignment horizontal="right" vertical="center"/>
    </xf>
    <xf numFmtId="0" fontId="5" fillId="0" borderId="49" xfId="0" applyFont="1" applyBorder="1" applyAlignment="1">
      <alignment horizontal="center" vertical="center" wrapText="1"/>
    </xf>
    <xf numFmtId="0" fontId="5" fillId="0" borderId="61" xfId="0" applyFont="1" applyBorder="1" applyAlignment="1">
      <alignment horizontal="justify" vertical="center" wrapText="1"/>
    </xf>
    <xf numFmtId="0" fontId="5" fillId="35" borderId="49" xfId="0" applyFont="1" applyFill="1" applyBorder="1" applyAlignment="1">
      <alignment horizontal="center" vertical="center" wrapText="1"/>
    </xf>
    <xf numFmtId="0" fontId="4" fillId="36" borderId="59" xfId="0" applyFont="1" applyFill="1" applyBorder="1" applyAlignment="1">
      <alignment horizontal="left" vertical="center" wrapText="1"/>
    </xf>
    <xf numFmtId="173" fontId="5" fillId="35" borderId="49" xfId="447" applyNumberFormat="1" applyFont="1" applyFill="1" applyBorder="1" applyAlignment="1">
      <alignment horizontal="center" vertical="center" wrapText="1"/>
    </xf>
    <xf numFmtId="0" fontId="4" fillId="36" borderId="40" xfId="0" applyFont="1" applyFill="1" applyBorder="1" applyAlignment="1">
      <alignment horizontal="center" vertical="center" wrapText="1"/>
    </xf>
    <xf numFmtId="173" fontId="4" fillId="37" borderId="49" xfId="447" applyNumberFormat="1" applyFont="1" applyFill="1" applyBorder="1" applyAlignment="1">
      <alignment vertical="center"/>
    </xf>
    <xf numFmtId="175" fontId="4" fillId="36" borderId="40" xfId="447" applyNumberFormat="1" applyFont="1" applyFill="1" applyBorder="1" applyAlignment="1">
      <alignment horizontal="center" vertical="center" wrapText="1"/>
    </xf>
    <xf numFmtId="173" fontId="4" fillId="36" borderId="40" xfId="447" applyNumberFormat="1" applyFont="1" applyFill="1" applyBorder="1" applyAlignment="1">
      <alignment horizontal="center" vertical="center" wrapText="1"/>
    </xf>
    <xf numFmtId="0" fontId="5" fillId="0" borderId="0" xfId="0" applyFont="1" applyAlignment="1">
      <alignment horizontal="justify" vertical="center" wrapText="1"/>
    </xf>
    <xf numFmtId="166" fontId="5" fillId="0" borderId="0" xfId="447" applyFont="1" applyAlignment="1">
      <alignment horizontal="justify" vertical="center" wrapText="1"/>
    </xf>
    <xf numFmtId="0" fontId="4" fillId="36" borderId="41" xfId="0" applyFont="1" applyFill="1" applyBorder="1" applyAlignment="1">
      <alignment horizontal="center" vertical="center" wrapText="1"/>
    </xf>
    <xf numFmtId="0" fontId="4" fillId="36" borderId="42" xfId="0" applyFont="1" applyFill="1" applyBorder="1" applyAlignment="1">
      <alignment vertical="center"/>
    </xf>
    <xf numFmtId="173" fontId="4" fillId="36" borderId="42" xfId="447" applyNumberFormat="1" applyFont="1" applyFill="1" applyBorder="1" applyAlignment="1">
      <alignment vertical="center"/>
    </xf>
    <xf numFmtId="173" fontId="5" fillId="36" borderId="43" xfId="447" applyNumberFormat="1" applyFont="1" applyFill="1" applyBorder="1" applyAlignment="1">
      <alignment vertical="center"/>
    </xf>
    <xf numFmtId="173" fontId="5" fillId="37" borderId="61" xfId="447" applyNumberFormat="1" applyFont="1" applyFill="1" applyBorder="1" applyAlignment="1">
      <alignment vertical="center"/>
    </xf>
    <xf numFmtId="173" fontId="4" fillId="37" borderId="49" xfId="447" applyNumberFormat="1" applyFont="1" applyFill="1" applyBorder="1" applyAlignment="1">
      <alignment horizontal="center" vertical="center"/>
    </xf>
    <xf numFmtId="173" fontId="5" fillId="35" borderId="61" xfId="447" applyNumberFormat="1" applyFont="1" applyFill="1" applyBorder="1" applyAlignment="1">
      <alignment horizontal="justify" vertical="center" wrapText="1"/>
    </xf>
    <xf numFmtId="0" fontId="5" fillId="0" borderId="60" xfId="0" applyFont="1" applyBorder="1" applyAlignment="1">
      <alignment horizontal="left" vertical="center" wrapText="1"/>
    </xf>
    <xf numFmtId="173" fontId="5" fillId="0" borderId="38" xfId="447" applyNumberFormat="1" applyFont="1" applyFill="1" applyBorder="1" applyAlignment="1">
      <alignment horizontal="justify" vertical="center" wrapText="1"/>
    </xf>
    <xf numFmtId="0" fontId="5" fillId="0" borderId="38" xfId="0" applyFont="1" applyBorder="1" applyAlignment="1">
      <alignment horizontal="center" vertical="center" wrapText="1"/>
    </xf>
    <xf numFmtId="173" fontId="5" fillId="35" borderId="44" xfId="447" applyNumberFormat="1" applyFont="1" applyFill="1" applyBorder="1" applyAlignment="1">
      <alignment horizontal="justify" vertical="center" wrapText="1"/>
    </xf>
    <xf numFmtId="166" fontId="4" fillId="36" borderId="35" xfId="447" applyFont="1" applyFill="1" applyBorder="1" applyAlignment="1">
      <alignment vertical="center"/>
    </xf>
    <xf numFmtId="0" fontId="4" fillId="36" borderId="35" xfId="0" applyFont="1" applyFill="1" applyBorder="1" applyAlignment="1">
      <alignment vertical="center"/>
    </xf>
    <xf numFmtId="173" fontId="4" fillId="36" borderId="35" xfId="447" applyNumberFormat="1" applyFont="1" applyFill="1" applyBorder="1" applyAlignment="1">
      <alignment vertical="center"/>
    </xf>
    <xf numFmtId="173" fontId="5" fillId="36" borderId="36" xfId="447" applyNumberFormat="1" applyFont="1" applyFill="1" applyBorder="1" applyAlignment="1">
      <alignment vertical="center"/>
    </xf>
    <xf numFmtId="0" fontId="4" fillId="36" borderId="59" xfId="0" applyFont="1" applyFill="1" applyBorder="1" applyAlignment="1">
      <alignment horizontal="left" vertical="center" wrapText="1"/>
    </xf>
    <xf numFmtId="0" fontId="4" fillId="0" borderId="49" xfId="541" applyFont="1" applyBorder="1" applyAlignment="1">
      <alignment horizontal="center" vertical="center"/>
      <protection/>
    </xf>
    <xf numFmtId="0" fontId="66" fillId="0" borderId="42" xfId="539" applyFont="1" applyBorder="1" applyAlignment="1">
      <alignment horizontal="center" vertical="center" wrapText="1"/>
      <protection/>
    </xf>
    <xf numFmtId="0" fontId="5" fillId="0" borderId="62" xfId="0" applyFont="1" applyBorder="1" applyAlignment="1">
      <alignment horizontal="left" vertical="center" wrapText="1"/>
    </xf>
    <xf numFmtId="173" fontId="5" fillId="35" borderId="52" xfId="447" applyNumberFormat="1" applyFont="1" applyFill="1" applyBorder="1" applyAlignment="1">
      <alignment horizontal="center" vertical="center" wrapText="1"/>
    </xf>
    <xf numFmtId="0" fontId="5" fillId="35" borderId="52" xfId="0" applyFont="1" applyFill="1" applyBorder="1" applyAlignment="1">
      <alignment horizontal="center" vertical="center" wrapText="1"/>
    </xf>
    <xf numFmtId="0" fontId="66" fillId="0" borderId="54" xfId="539" applyFont="1" applyBorder="1" applyAlignment="1">
      <alignment horizontal="center" vertical="center" wrapText="1"/>
      <protection/>
    </xf>
    <xf numFmtId="42" fontId="66" fillId="0" borderId="54" xfId="449" applyFont="1" applyFill="1" applyBorder="1" applyAlignment="1">
      <alignment horizontal="left" vertical="center" wrapText="1"/>
    </xf>
    <xf numFmtId="0" fontId="5" fillId="0" borderId="63" xfId="0" applyFont="1" applyBorder="1" applyAlignment="1">
      <alignment horizontal="justify" vertical="center" wrapText="1"/>
    </xf>
    <xf numFmtId="0" fontId="67" fillId="0" borderId="51" xfId="539" applyFont="1" applyBorder="1" applyAlignment="1">
      <alignment horizontal="center" vertical="center" wrapText="1"/>
      <protection/>
    </xf>
    <xf numFmtId="0" fontId="67" fillId="0" borderId="55" xfId="539" applyFont="1" applyBorder="1" applyAlignment="1">
      <alignment horizontal="center" vertical="center" wrapText="1"/>
      <protection/>
    </xf>
    <xf numFmtId="173" fontId="67" fillId="0" borderId="55" xfId="539" applyNumberFormat="1" applyFont="1" applyBorder="1" applyAlignment="1">
      <alignment horizontal="center" vertical="center" wrapText="1"/>
      <protection/>
    </xf>
    <xf numFmtId="0" fontId="67" fillId="0" borderId="56" xfId="539" applyFont="1" applyBorder="1" applyAlignment="1">
      <alignment horizontal="justify" vertical="center" wrapText="1"/>
      <protection/>
    </xf>
    <xf numFmtId="41" fontId="66" fillId="0" borderId="0" xfId="50" applyFont="1" applyAlignment="1">
      <alignment/>
    </xf>
    <xf numFmtId="42" fontId="66" fillId="0" borderId="0" xfId="0" applyNumberFormat="1" applyFont="1" applyAlignment="1">
      <alignment/>
    </xf>
    <xf numFmtId="42" fontId="66" fillId="0" borderId="0" xfId="539" applyNumberFormat="1" applyFont="1">
      <alignment/>
      <protection/>
    </xf>
    <xf numFmtId="0" fontId="66" fillId="0" borderId="59" xfId="539" applyFont="1" applyBorder="1" applyAlignment="1">
      <alignment horizontal="left" vertical="center" wrapText="1"/>
      <protection/>
    </xf>
    <xf numFmtId="0" fontId="66" fillId="0" borderId="43" xfId="539" applyFont="1" applyBorder="1" applyAlignment="1">
      <alignment horizontal="left" vertical="center" wrapText="1"/>
      <protection/>
    </xf>
    <xf numFmtId="0" fontId="66" fillId="0" borderId="60" xfId="539" applyFont="1" applyBorder="1" applyAlignment="1">
      <alignment horizontal="left" vertical="center" wrapText="1"/>
      <protection/>
    </xf>
    <xf numFmtId="0" fontId="66" fillId="0" borderId="38" xfId="539" applyFont="1" applyBorder="1" applyAlignment="1">
      <alignment horizontal="center" vertical="center" wrapText="1"/>
      <protection/>
    </xf>
    <xf numFmtId="0" fontId="66" fillId="0" borderId="44" xfId="539" applyFont="1" applyBorder="1" applyAlignment="1">
      <alignment horizontal="left" vertical="center" wrapText="1"/>
      <protection/>
    </xf>
    <xf numFmtId="0" fontId="4" fillId="0" borderId="0" xfId="536" applyFont="1" applyAlignment="1">
      <alignment horizontal="center"/>
      <protection/>
    </xf>
    <xf numFmtId="10" fontId="4" fillId="0" borderId="0" xfId="547" applyNumberFormat="1" applyFont="1" applyFill="1" applyAlignment="1">
      <alignment/>
    </xf>
    <xf numFmtId="168" fontId="4" fillId="0" borderId="0" xfId="49" applyFont="1" applyFill="1" applyAlignment="1">
      <alignment/>
    </xf>
    <xf numFmtId="177" fontId="4" fillId="0" borderId="0" xfId="49" applyNumberFormat="1" applyFont="1" applyFill="1" applyAlignment="1">
      <alignment/>
    </xf>
    <xf numFmtId="0" fontId="4" fillId="0" borderId="0" xfId="536" applyFont="1" applyFill="1">
      <alignment/>
      <protection/>
    </xf>
    <xf numFmtId="10" fontId="4" fillId="0" borderId="0" xfId="547" applyNumberFormat="1" applyFont="1" applyFill="1" applyAlignment="1">
      <alignment horizontal="center"/>
    </xf>
    <xf numFmtId="168" fontId="4" fillId="0" borderId="0" xfId="49" applyFont="1" applyFill="1" applyAlignment="1">
      <alignment horizontal="center"/>
    </xf>
    <xf numFmtId="177" fontId="4" fillId="0" borderId="0" xfId="49" applyNumberFormat="1" applyFont="1" applyFill="1" applyAlignment="1">
      <alignment horizontal="center"/>
    </xf>
    <xf numFmtId="0" fontId="4" fillId="0" borderId="0" xfId="536" applyFont="1" applyFill="1" applyAlignment="1">
      <alignment horizontal="center"/>
      <protection/>
    </xf>
    <xf numFmtId="0" fontId="4" fillId="0" borderId="49" xfId="536" applyFont="1" applyBorder="1" applyAlignment="1">
      <alignment horizontal="center"/>
      <protection/>
    </xf>
    <xf numFmtId="181" fontId="4" fillId="0" borderId="49" xfId="51" applyNumberFormat="1" applyFont="1" applyBorder="1" applyAlignment="1">
      <alignment horizontal="center"/>
    </xf>
    <xf numFmtId="177" fontId="4" fillId="0" borderId="49" xfId="49" applyNumberFormat="1" applyFont="1" applyBorder="1" applyAlignment="1">
      <alignment horizontal="center"/>
    </xf>
    <xf numFmtId="41" fontId="4" fillId="0" borderId="49" xfId="50" applyNumberFormat="1" applyFont="1" applyBorder="1" applyAlignment="1">
      <alignment horizontal="center"/>
    </xf>
    <xf numFmtId="177" fontId="4" fillId="0" borderId="49" xfId="547" applyNumberFormat="1" applyFont="1" applyBorder="1" applyAlignment="1">
      <alignment horizontal="center"/>
    </xf>
    <xf numFmtId="0" fontId="4" fillId="0" borderId="49" xfId="536" applyFont="1" applyBorder="1">
      <alignment/>
      <protection/>
    </xf>
    <xf numFmtId="181" fontId="4" fillId="0" borderId="49" xfId="51" applyNumberFormat="1" applyFont="1" applyBorder="1" applyAlignment="1">
      <alignment/>
    </xf>
    <xf numFmtId="177" fontId="4" fillId="0" borderId="49" xfId="49" applyNumberFormat="1" applyFont="1" applyBorder="1" applyAlignment="1">
      <alignment/>
    </xf>
    <xf numFmtId="177" fontId="4" fillId="0" borderId="49" xfId="536" applyNumberFormat="1" applyFont="1" applyBorder="1">
      <alignment/>
      <protection/>
    </xf>
    <xf numFmtId="10" fontId="4" fillId="0" borderId="49" xfId="547" applyNumberFormat="1" applyFont="1" applyBorder="1" applyAlignment="1">
      <alignment horizontal="center"/>
    </xf>
    <xf numFmtId="181" fontId="5" fillId="0" borderId="49" xfId="51" applyNumberFormat="1" applyFont="1" applyBorder="1" applyAlignment="1">
      <alignment/>
    </xf>
    <xf numFmtId="177" fontId="5" fillId="0" borderId="49" xfId="49" applyNumberFormat="1" applyFont="1" applyBorder="1" applyAlignment="1">
      <alignment/>
    </xf>
    <xf numFmtId="10" fontId="5" fillId="0" borderId="49" xfId="547" applyNumberFormat="1" applyFont="1" applyBorder="1" applyAlignment="1">
      <alignment horizontal="center"/>
    </xf>
    <xf numFmtId="41" fontId="4" fillId="0" borderId="49" xfId="50" applyNumberFormat="1" applyFont="1" applyBorder="1" applyAlignment="1">
      <alignment/>
    </xf>
    <xf numFmtId="0" fontId="68" fillId="0" borderId="0" xfId="0" applyFont="1" applyAlignment="1">
      <alignment vertical="center"/>
    </xf>
    <xf numFmtId="0" fontId="7" fillId="0" borderId="0" xfId="0" applyFont="1" applyAlignment="1">
      <alignment horizontal="left" vertical="center"/>
    </xf>
    <xf numFmtId="0" fontId="69" fillId="36" borderId="39" xfId="0" applyFont="1" applyFill="1" applyBorder="1" applyAlignment="1">
      <alignment horizontal="center" vertical="center" wrapText="1"/>
    </xf>
    <xf numFmtId="175" fontId="69" fillId="36" borderId="40" xfId="447" applyNumberFormat="1" applyFont="1" applyFill="1" applyBorder="1" applyAlignment="1">
      <alignment horizontal="center" vertical="center" wrapText="1"/>
    </xf>
    <xf numFmtId="0" fontId="69" fillId="36" borderId="40" xfId="0" applyFont="1" applyFill="1" applyBorder="1" applyAlignment="1">
      <alignment horizontal="center" vertical="center" wrapText="1"/>
    </xf>
    <xf numFmtId="0" fontId="69" fillId="36" borderId="64" xfId="0" applyFont="1" applyFill="1" applyBorder="1" applyAlignment="1">
      <alignment horizontal="center" vertical="center" wrapText="1"/>
    </xf>
    <xf numFmtId="10" fontId="69" fillId="36" borderId="65" xfId="547" applyNumberFormat="1" applyFont="1" applyFill="1" applyBorder="1" applyAlignment="1">
      <alignment horizontal="center" vertical="center" wrapText="1"/>
    </xf>
    <xf numFmtId="0" fontId="65" fillId="0" borderId="0" xfId="0" applyFont="1" applyAlignment="1">
      <alignment horizontal="center" vertical="center"/>
    </xf>
    <xf numFmtId="173" fontId="8" fillId="36" borderId="59" xfId="447" applyNumberFormat="1" applyFont="1" applyFill="1" applyBorder="1" applyAlignment="1">
      <alignment horizontal="left" vertical="center" wrapText="1"/>
    </xf>
    <xf numFmtId="0" fontId="69" fillId="36" borderId="66" xfId="0" applyFont="1" applyFill="1" applyBorder="1" applyAlignment="1">
      <alignment horizontal="justify" vertical="center" wrapText="1"/>
    </xf>
    <xf numFmtId="0" fontId="8" fillId="36" borderId="37" xfId="544" applyFont="1" applyFill="1" applyBorder="1" applyAlignment="1">
      <alignment horizontal="left" vertical="center"/>
      <protection/>
    </xf>
    <xf numFmtId="166" fontId="69" fillId="36" borderId="35" xfId="447" applyFont="1" applyFill="1" applyBorder="1" applyAlignment="1">
      <alignment vertical="center"/>
    </xf>
    <xf numFmtId="0" fontId="69" fillId="36" borderId="35" xfId="0" applyFont="1" applyFill="1" applyBorder="1" applyAlignment="1">
      <alignment vertical="center"/>
    </xf>
    <xf numFmtId="0" fontId="69" fillId="36" borderId="67" xfId="0" applyFont="1" applyFill="1" applyBorder="1" applyAlignment="1">
      <alignment vertical="center"/>
    </xf>
    <xf numFmtId="173" fontId="8" fillId="36" borderId="37" xfId="447" applyNumberFormat="1" applyFont="1" applyFill="1" applyBorder="1" applyAlignment="1">
      <alignment horizontal="left" vertical="center"/>
    </xf>
    <xf numFmtId="173" fontId="65" fillId="36" borderId="68" xfId="447" applyNumberFormat="1" applyFont="1" applyFill="1" applyBorder="1" applyAlignment="1">
      <alignment vertical="center"/>
    </xf>
    <xf numFmtId="173" fontId="7" fillId="0" borderId="0" xfId="0" applyNumberFormat="1" applyFont="1" applyAlignment="1">
      <alignment horizontal="left" vertical="center"/>
    </xf>
    <xf numFmtId="177" fontId="7" fillId="0" borderId="0" xfId="49" applyNumberFormat="1" applyFont="1" applyAlignment="1">
      <alignment horizontal="left" vertical="center"/>
    </xf>
    <xf numFmtId="177" fontId="7" fillId="0" borderId="0" xfId="0" applyNumberFormat="1" applyFont="1" applyAlignment="1">
      <alignment horizontal="left" vertical="center"/>
    </xf>
    <xf numFmtId="0" fontId="65" fillId="0" borderId="0" xfId="0" applyFont="1" applyAlignment="1">
      <alignment horizontal="left" vertical="center"/>
    </xf>
    <xf numFmtId="173" fontId="7" fillId="0" borderId="49" xfId="447" applyNumberFormat="1" applyFont="1" applyFill="1" applyBorder="1" applyAlignment="1">
      <alignment horizontal="justify" vertical="center" wrapText="1"/>
    </xf>
    <xf numFmtId="179" fontId="7" fillId="0" borderId="49" xfId="0" applyNumberFormat="1" applyFont="1" applyBorder="1" applyAlignment="1">
      <alignment horizontal="center" vertical="center" wrapText="1"/>
    </xf>
    <xf numFmtId="173" fontId="7" fillId="0" borderId="49" xfId="447" applyNumberFormat="1" applyFont="1" applyFill="1" applyBorder="1" applyAlignment="1">
      <alignment horizontal="left" vertical="center" wrapText="1"/>
    </xf>
    <xf numFmtId="173" fontId="8" fillId="36" borderId="35" xfId="447" applyNumberFormat="1" applyFont="1" applyFill="1" applyBorder="1" applyAlignment="1">
      <alignment horizontal="left" vertical="center"/>
    </xf>
    <xf numFmtId="173" fontId="8" fillId="36" borderId="42" xfId="447" applyNumberFormat="1" applyFont="1" applyFill="1" applyBorder="1" applyAlignment="1">
      <alignment horizontal="left" vertical="center" wrapText="1"/>
    </xf>
    <xf numFmtId="179" fontId="7" fillId="0" borderId="69" xfId="0" applyNumberFormat="1" applyFont="1" applyBorder="1" applyAlignment="1">
      <alignment horizontal="center" vertical="center" wrapText="1"/>
    </xf>
    <xf numFmtId="0" fontId="7" fillId="0" borderId="58" xfId="0" applyFont="1" applyBorder="1" applyAlignment="1">
      <alignment vertical="center" wrapText="1"/>
    </xf>
    <xf numFmtId="10" fontId="8" fillId="36" borderId="43" xfId="547" applyNumberFormat="1" applyFont="1" applyFill="1" applyBorder="1" applyAlignment="1">
      <alignment horizontal="center" vertical="center" wrapText="1"/>
    </xf>
    <xf numFmtId="173" fontId="7" fillId="0" borderId="50" xfId="447" applyNumberFormat="1" applyFont="1" applyFill="1" applyBorder="1" applyAlignment="1">
      <alignment horizontal="left" vertical="center" wrapText="1"/>
    </xf>
    <xf numFmtId="10" fontId="7" fillId="0" borderId="61" xfId="547" applyNumberFormat="1" applyFont="1" applyFill="1" applyBorder="1" applyAlignment="1">
      <alignment horizontal="center" vertical="center" wrapText="1"/>
    </xf>
    <xf numFmtId="10" fontId="8" fillId="36" borderId="36" xfId="547" applyNumberFormat="1" applyFont="1" applyFill="1" applyBorder="1" applyAlignment="1">
      <alignment horizontal="center" vertical="center"/>
    </xf>
    <xf numFmtId="0" fontId="70" fillId="0" borderId="50" xfId="0" applyFont="1" applyBorder="1" applyAlignment="1">
      <alignment horizontal="left" vertical="center" wrapText="1"/>
    </xf>
    <xf numFmtId="42" fontId="9" fillId="36" borderId="39" xfId="448" applyFont="1" applyFill="1" applyBorder="1" applyAlignment="1">
      <alignment horizontal="center" vertical="center" wrapText="1"/>
    </xf>
    <xf numFmtId="173" fontId="9" fillId="36" borderId="40" xfId="447" applyNumberFormat="1" applyFont="1" applyFill="1" applyBorder="1" applyAlignment="1">
      <alignment horizontal="center" vertical="center" wrapText="1"/>
    </xf>
    <xf numFmtId="10" fontId="9" fillId="36" borderId="41" xfId="547" applyNumberFormat="1" applyFont="1" applyFill="1" applyBorder="1" applyAlignment="1">
      <alignment horizontal="center" vertical="center" wrapText="1"/>
    </xf>
    <xf numFmtId="0" fontId="4" fillId="33" borderId="16" xfId="536" applyFont="1" applyFill="1" applyBorder="1">
      <alignment/>
      <protection/>
    </xf>
    <xf numFmtId="0" fontId="71" fillId="0" borderId="0" xfId="536" applyFont="1">
      <alignment/>
      <protection/>
    </xf>
    <xf numFmtId="177" fontId="71" fillId="0" borderId="0" xfId="49" applyNumberFormat="1" applyFont="1" applyAlignment="1">
      <alignment/>
    </xf>
    <xf numFmtId="177" fontId="5" fillId="0" borderId="23" xfId="49" applyNumberFormat="1" applyFont="1" applyBorder="1" applyAlignment="1">
      <alignment/>
    </xf>
    <xf numFmtId="177" fontId="5" fillId="0" borderId="18" xfId="49" applyNumberFormat="1" applyFont="1" applyBorder="1" applyAlignment="1">
      <alignment/>
    </xf>
    <xf numFmtId="177" fontId="4" fillId="0" borderId="27" xfId="49" applyNumberFormat="1" applyFont="1" applyFill="1" applyBorder="1" applyAlignment="1">
      <alignment horizontal="center" vertical="center"/>
    </xf>
    <xf numFmtId="177" fontId="4" fillId="33" borderId="16" xfId="49" applyNumberFormat="1" applyFont="1" applyFill="1" applyBorder="1" applyAlignment="1">
      <alignment/>
    </xf>
    <xf numFmtId="177" fontId="5" fillId="0" borderId="19" xfId="49" applyNumberFormat="1" applyFont="1" applyFill="1" applyBorder="1" applyAlignment="1">
      <alignment/>
    </xf>
    <xf numFmtId="177" fontId="4" fillId="33" borderId="19" xfId="49" applyNumberFormat="1" applyFont="1" applyFill="1" applyBorder="1" applyAlignment="1">
      <alignment/>
    </xf>
    <xf numFmtId="177" fontId="5" fillId="34" borderId="19" xfId="49" applyNumberFormat="1" applyFont="1" applyFill="1" applyBorder="1" applyAlignment="1">
      <alignment/>
    </xf>
    <xf numFmtId="177" fontId="5" fillId="0" borderId="19" xfId="49" applyNumberFormat="1" applyFont="1" applyBorder="1" applyAlignment="1">
      <alignment/>
    </xf>
    <xf numFmtId="177" fontId="4" fillId="33" borderId="19" xfId="49" applyNumberFormat="1" applyFont="1" applyFill="1" applyBorder="1" applyAlignment="1">
      <alignment/>
    </xf>
    <xf numFmtId="177" fontId="5" fillId="0" borderId="22" xfId="49" applyNumberFormat="1" applyFont="1" applyBorder="1" applyAlignment="1">
      <alignment/>
    </xf>
    <xf numFmtId="177" fontId="4" fillId="33" borderId="24" xfId="49" applyNumberFormat="1" applyFont="1" applyFill="1" applyBorder="1" applyAlignment="1">
      <alignment/>
    </xf>
    <xf numFmtId="177" fontId="5" fillId="0" borderId="16" xfId="49" applyNumberFormat="1" applyFont="1" applyBorder="1" applyAlignment="1">
      <alignment/>
    </xf>
    <xf numFmtId="177" fontId="5" fillId="0" borderId="19" xfId="49" applyNumberFormat="1" applyFont="1" applyFill="1" applyBorder="1" applyAlignment="1">
      <alignment/>
    </xf>
    <xf numFmtId="177" fontId="5" fillId="34" borderId="19" xfId="49" applyNumberFormat="1" applyFont="1" applyFill="1" applyBorder="1" applyAlignment="1">
      <alignment/>
    </xf>
    <xf numFmtId="177" fontId="4" fillId="33" borderId="27" xfId="49" applyNumberFormat="1" applyFont="1" applyFill="1" applyBorder="1" applyAlignment="1">
      <alignment/>
    </xf>
    <xf numFmtId="177" fontId="4" fillId="33" borderId="28" xfId="49" applyNumberFormat="1" applyFont="1" applyFill="1" applyBorder="1" applyAlignment="1">
      <alignment/>
    </xf>
    <xf numFmtId="177" fontId="4" fillId="0" borderId="70" xfId="49" applyNumberFormat="1" applyFont="1" applyFill="1" applyBorder="1" applyAlignment="1">
      <alignment horizontal="center" vertical="center"/>
    </xf>
    <xf numFmtId="177" fontId="4" fillId="33" borderId="71" xfId="49" applyNumberFormat="1" applyFont="1" applyFill="1" applyBorder="1" applyAlignment="1">
      <alignment/>
    </xf>
    <xf numFmtId="177" fontId="5" fillId="0" borderId="72" xfId="49" applyNumberFormat="1" applyFont="1" applyFill="1" applyBorder="1" applyAlignment="1">
      <alignment/>
    </xf>
    <xf numFmtId="177" fontId="4" fillId="33" borderId="72" xfId="49" applyNumberFormat="1" applyFont="1" applyFill="1" applyBorder="1" applyAlignment="1">
      <alignment/>
    </xf>
    <xf numFmtId="177" fontId="5" fillId="34" borderId="72" xfId="49" applyNumberFormat="1" applyFont="1" applyFill="1" applyBorder="1" applyAlignment="1">
      <alignment/>
    </xf>
    <xf numFmtId="177" fontId="5" fillId="0" borderId="72" xfId="49" applyNumberFormat="1" applyFont="1" applyBorder="1" applyAlignment="1">
      <alignment/>
    </xf>
    <xf numFmtId="177" fontId="4" fillId="33" borderId="72" xfId="49" applyNumberFormat="1" applyFont="1" applyFill="1" applyBorder="1" applyAlignment="1">
      <alignment/>
    </xf>
    <xf numFmtId="177" fontId="5" fillId="0" borderId="73" xfId="49" applyNumberFormat="1" applyFont="1" applyBorder="1" applyAlignment="1">
      <alignment/>
    </xf>
    <xf numFmtId="177" fontId="4" fillId="33" borderId="74" xfId="49" applyNumberFormat="1" applyFont="1" applyFill="1" applyBorder="1" applyAlignment="1">
      <alignment/>
    </xf>
    <xf numFmtId="177" fontId="5" fillId="0" borderId="71" xfId="49" applyNumberFormat="1" applyFont="1" applyBorder="1" applyAlignment="1">
      <alignment/>
    </xf>
    <xf numFmtId="177" fontId="5" fillId="0" borderId="72" xfId="49" applyNumberFormat="1" applyFont="1" applyFill="1" applyBorder="1" applyAlignment="1">
      <alignment/>
    </xf>
    <xf numFmtId="177" fontId="5" fillId="34" borderId="72" xfId="49" applyNumberFormat="1" applyFont="1" applyFill="1" applyBorder="1" applyAlignment="1">
      <alignment/>
    </xf>
    <xf numFmtId="177" fontId="4" fillId="33" borderId="70" xfId="49" applyNumberFormat="1" applyFont="1" applyFill="1" applyBorder="1" applyAlignment="1">
      <alignment/>
    </xf>
    <xf numFmtId="177" fontId="4" fillId="33" borderId="75" xfId="49" applyNumberFormat="1" applyFont="1" applyFill="1" applyBorder="1" applyAlignment="1">
      <alignment/>
    </xf>
    <xf numFmtId="177" fontId="5" fillId="0" borderId="0" xfId="536" applyNumberFormat="1" applyFont="1">
      <alignment/>
      <protection/>
    </xf>
    <xf numFmtId="49" fontId="5" fillId="0" borderId="0" xfId="536" applyNumberFormat="1" applyFont="1">
      <alignment/>
      <protection/>
    </xf>
    <xf numFmtId="49" fontId="4" fillId="0" borderId="13" xfId="49" applyNumberFormat="1" applyFont="1" applyFill="1" applyBorder="1" applyAlignment="1">
      <alignment horizontal="center" vertical="center" wrapText="1"/>
    </xf>
    <xf numFmtId="49" fontId="4" fillId="0" borderId="14" xfId="49" applyNumberFormat="1" applyFont="1" applyFill="1" applyBorder="1" applyAlignment="1">
      <alignment horizontal="center" vertical="center" wrapText="1"/>
    </xf>
    <xf numFmtId="49" fontId="4" fillId="0" borderId="28" xfId="49" applyNumberFormat="1" applyFont="1" applyFill="1" applyBorder="1" applyAlignment="1">
      <alignment horizontal="center" vertical="center" wrapText="1"/>
    </xf>
    <xf numFmtId="49" fontId="4" fillId="0" borderId="75" xfId="49" applyNumberFormat="1" applyFont="1" applyFill="1" applyBorder="1" applyAlignment="1">
      <alignment horizontal="center" vertical="center" wrapText="1"/>
    </xf>
    <xf numFmtId="49" fontId="0" fillId="0" borderId="0" xfId="0" applyNumberFormat="1" applyAlignment="1">
      <alignment/>
    </xf>
    <xf numFmtId="168" fontId="5" fillId="0" borderId="0" xfId="49" applyNumberFormat="1" applyFont="1" applyAlignment="1">
      <alignment/>
    </xf>
    <xf numFmtId="168" fontId="71" fillId="0" borderId="0" xfId="49" applyNumberFormat="1" applyFont="1" applyAlignment="1">
      <alignment/>
    </xf>
    <xf numFmtId="177" fontId="4" fillId="33" borderId="29" xfId="49" applyNumberFormat="1" applyFont="1" applyFill="1" applyBorder="1" applyAlignment="1">
      <alignment/>
    </xf>
    <xf numFmtId="177" fontId="5" fillId="0" borderId="31" xfId="49" applyNumberFormat="1" applyFont="1" applyFill="1" applyBorder="1" applyAlignment="1">
      <alignment/>
    </xf>
    <xf numFmtId="177" fontId="4" fillId="33" borderId="31" xfId="49" applyNumberFormat="1" applyFont="1" applyFill="1" applyBorder="1" applyAlignment="1">
      <alignment/>
    </xf>
    <xf numFmtId="177" fontId="4" fillId="33" borderId="31" xfId="49" applyNumberFormat="1" applyFont="1" applyFill="1" applyBorder="1" applyAlignment="1">
      <alignment/>
    </xf>
    <xf numFmtId="177" fontId="4" fillId="33" borderId="33" xfId="49" applyNumberFormat="1" applyFont="1" applyFill="1" applyBorder="1" applyAlignment="1">
      <alignment/>
    </xf>
    <xf numFmtId="177" fontId="5" fillId="0" borderId="29" xfId="49" applyNumberFormat="1" applyFont="1" applyBorder="1" applyAlignment="1">
      <alignment/>
    </xf>
    <xf numFmtId="177" fontId="4" fillId="33" borderId="12" xfId="49" applyNumberFormat="1" applyFont="1" applyFill="1" applyBorder="1" applyAlignment="1">
      <alignment/>
    </xf>
    <xf numFmtId="177" fontId="4" fillId="33" borderId="15" xfId="49" applyNumberFormat="1" applyFont="1" applyFill="1" applyBorder="1" applyAlignment="1">
      <alignment/>
    </xf>
    <xf numFmtId="168" fontId="5" fillId="0" borderId="0" xfId="536" applyNumberFormat="1" applyFont="1">
      <alignment/>
      <protection/>
    </xf>
    <xf numFmtId="177" fontId="5" fillId="0" borderId="76" xfId="49" applyNumberFormat="1" applyFont="1" applyBorder="1" applyAlignment="1">
      <alignment/>
    </xf>
    <xf numFmtId="177" fontId="71" fillId="0" borderId="0" xfId="536" applyNumberFormat="1" applyFont="1">
      <alignment/>
      <protection/>
    </xf>
    <xf numFmtId="3" fontId="0" fillId="0" borderId="0" xfId="0" applyNumberFormat="1" applyAlignment="1">
      <alignment/>
    </xf>
    <xf numFmtId="0" fontId="0" fillId="7" borderId="0" xfId="0" applyFill="1" applyAlignment="1">
      <alignment/>
    </xf>
    <xf numFmtId="3" fontId="0" fillId="7" borderId="0" xfId="0" applyNumberFormat="1" applyFill="1" applyAlignment="1">
      <alignment/>
    </xf>
    <xf numFmtId="0" fontId="0" fillId="6" borderId="0" xfId="0" applyFill="1" applyAlignment="1">
      <alignment/>
    </xf>
    <xf numFmtId="3" fontId="0" fillId="6" borderId="0" xfId="0" applyNumberFormat="1" applyFill="1" applyAlignment="1">
      <alignment/>
    </xf>
    <xf numFmtId="0" fontId="0" fillId="0" borderId="77" xfId="0" applyBorder="1" applyAlignment="1">
      <alignment/>
    </xf>
    <xf numFmtId="0" fontId="0" fillId="0" borderId="78" xfId="0" applyBorder="1" applyAlignment="1">
      <alignment/>
    </xf>
    <xf numFmtId="3" fontId="0" fillId="0" borderId="78" xfId="0" applyNumberFormat="1" applyBorder="1" applyAlignment="1">
      <alignment/>
    </xf>
    <xf numFmtId="3" fontId="0" fillId="0" borderId="79" xfId="0" applyNumberFormat="1" applyBorder="1" applyAlignment="1">
      <alignment/>
    </xf>
    <xf numFmtId="0" fontId="0" fillId="0" borderId="80" xfId="0" applyBorder="1" applyAlignment="1">
      <alignment/>
    </xf>
    <xf numFmtId="3" fontId="0" fillId="0" borderId="81" xfId="0" applyNumberFormat="1" applyBorder="1" applyAlignment="1">
      <alignment/>
    </xf>
    <xf numFmtId="0" fontId="0" fillId="0" borderId="82" xfId="0" applyBorder="1" applyAlignment="1">
      <alignment/>
    </xf>
    <xf numFmtId="0" fontId="0" fillId="0" borderId="76" xfId="0" applyBorder="1" applyAlignment="1">
      <alignment/>
    </xf>
    <xf numFmtId="3" fontId="0" fillId="0" borderId="76" xfId="0" applyNumberFormat="1" applyBorder="1" applyAlignment="1">
      <alignment/>
    </xf>
    <xf numFmtId="3" fontId="0" fillId="0" borderId="83" xfId="0" applyNumberFormat="1" applyBorder="1" applyAlignment="1">
      <alignment/>
    </xf>
    <xf numFmtId="170" fontId="5" fillId="0" borderId="0" xfId="547" applyNumberFormat="1" applyFont="1" applyAlignment="1">
      <alignment/>
    </xf>
    <xf numFmtId="0" fontId="4" fillId="33" borderId="27" xfId="537" applyFont="1" applyFill="1" applyBorder="1">
      <alignment/>
      <protection/>
    </xf>
    <xf numFmtId="173" fontId="4" fillId="33" borderId="10" xfId="447" applyNumberFormat="1" applyFont="1" applyFill="1" applyBorder="1" applyAlignment="1">
      <alignment/>
    </xf>
    <xf numFmtId="0" fontId="5" fillId="0" borderId="19" xfId="537" applyFont="1" applyBorder="1" applyAlignment="1">
      <alignment horizontal="left" indent="1"/>
      <protection/>
    </xf>
    <xf numFmtId="173" fontId="5" fillId="35" borderId="20" xfId="447" applyNumberFormat="1" applyFont="1" applyFill="1" applyBorder="1" applyAlignment="1">
      <alignment/>
    </xf>
    <xf numFmtId="0" fontId="4" fillId="33" borderId="19" xfId="537" applyFont="1" applyFill="1" applyBorder="1">
      <alignment/>
      <protection/>
    </xf>
    <xf numFmtId="173" fontId="4" fillId="33" borderId="20" xfId="447" applyNumberFormat="1" applyFont="1" applyFill="1" applyBorder="1" applyAlignment="1">
      <alignment/>
    </xf>
    <xf numFmtId="173" fontId="5" fillId="0" borderId="0" xfId="536" applyNumberFormat="1" applyFont="1">
      <alignment/>
      <protection/>
    </xf>
    <xf numFmtId="49" fontId="5" fillId="0" borderId="0" xfId="536" applyNumberFormat="1" applyFont="1" applyBorder="1" applyAlignment="1">
      <alignment horizontal="center"/>
      <protection/>
    </xf>
    <xf numFmtId="173" fontId="4" fillId="33" borderId="11" xfId="447" applyNumberFormat="1" applyFont="1" applyFill="1" applyBorder="1" applyAlignment="1">
      <alignment/>
    </xf>
    <xf numFmtId="173" fontId="5" fillId="35" borderId="21" xfId="447" applyNumberFormat="1" applyFont="1" applyFill="1" applyBorder="1" applyAlignment="1">
      <alignment/>
    </xf>
    <xf numFmtId="173" fontId="4" fillId="33" borderId="21" xfId="447" applyNumberFormat="1" applyFont="1" applyFill="1" applyBorder="1" applyAlignment="1">
      <alignment/>
    </xf>
    <xf numFmtId="0" fontId="4" fillId="33" borderId="28" xfId="537" applyFont="1" applyFill="1" applyBorder="1">
      <alignment/>
      <protection/>
    </xf>
    <xf numFmtId="173" fontId="4" fillId="33" borderId="13" xfId="447" applyNumberFormat="1" applyFont="1" applyFill="1" applyBorder="1" applyAlignment="1">
      <alignment/>
    </xf>
    <xf numFmtId="173" fontId="4" fillId="33" borderId="14" xfId="447" applyNumberFormat="1" applyFont="1" applyFill="1" applyBorder="1" applyAlignment="1">
      <alignment/>
    </xf>
    <xf numFmtId="0" fontId="5" fillId="0" borderId="0" xfId="536" applyFont="1" applyAlignment="1">
      <alignment horizontal="center"/>
      <protection/>
    </xf>
    <xf numFmtId="0" fontId="5" fillId="0" borderId="0" xfId="536" applyFont="1" applyBorder="1" applyAlignment="1">
      <alignment horizontal="center"/>
      <protection/>
    </xf>
    <xf numFmtId="177" fontId="5" fillId="0" borderId="84" xfId="49" applyNumberFormat="1" applyFont="1" applyBorder="1" applyAlignment="1">
      <alignment/>
    </xf>
    <xf numFmtId="177" fontId="5" fillId="0" borderId="84" xfId="49" applyNumberFormat="1" applyFont="1" applyFill="1" applyBorder="1" applyAlignment="1">
      <alignment/>
    </xf>
    <xf numFmtId="49" fontId="5" fillId="0" borderId="0" xfId="49" applyNumberFormat="1" applyFont="1" applyAlignment="1">
      <alignment/>
    </xf>
    <xf numFmtId="49" fontId="4" fillId="0" borderId="0" xfId="536" applyNumberFormat="1" applyFont="1" applyAlignment="1">
      <alignment horizontal="center"/>
      <protection/>
    </xf>
    <xf numFmtId="49" fontId="4" fillId="0" borderId="0" xfId="49" applyNumberFormat="1" applyFont="1" applyBorder="1" applyAlignment="1">
      <alignment horizontal="center"/>
    </xf>
    <xf numFmtId="49" fontId="4" fillId="0" borderId="10" xfId="49" applyNumberFormat="1" applyFont="1" applyFill="1" applyBorder="1" applyAlignment="1">
      <alignment horizontal="center" vertical="center"/>
    </xf>
    <xf numFmtId="49" fontId="4" fillId="0" borderId="11" xfId="49" applyNumberFormat="1" applyFont="1" applyFill="1" applyBorder="1" applyAlignment="1">
      <alignment horizontal="center" vertical="center"/>
    </xf>
    <xf numFmtId="177" fontId="4" fillId="0" borderId="28" xfId="49" applyNumberFormat="1" applyFont="1" applyFill="1" applyBorder="1" applyAlignment="1">
      <alignment horizontal="center" vertical="center" wrapText="1"/>
    </xf>
    <xf numFmtId="168" fontId="4" fillId="0" borderId="0" xfId="49" applyNumberFormat="1" applyFont="1" applyBorder="1" applyAlignment="1">
      <alignment horizontal="center"/>
    </xf>
    <xf numFmtId="168" fontId="4" fillId="0" borderId="70" xfId="49" applyNumberFormat="1" applyFont="1" applyFill="1" applyBorder="1" applyAlignment="1">
      <alignment horizontal="center" vertical="center"/>
    </xf>
    <xf numFmtId="168" fontId="4" fillId="0" borderId="75" xfId="49" applyNumberFormat="1" applyFont="1" applyFill="1" applyBorder="1" applyAlignment="1">
      <alignment horizontal="center" vertical="center" wrapText="1"/>
    </xf>
    <xf numFmtId="168" fontId="4" fillId="33" borderId="17" xfId="49" applyNumberFormat="1" applyFont="1" applyFill="1" applyBorder="1" applyAlignment="1">
      <alignment/>
    </xf>
    <xf numFmtId="168" fontId="5" fillId="0" borderId="20" xfId="49" applyNumberFormat="1" applyFont="1" applyFill="1" applyBorder="1" applyAlignment="1">
      <alignment/>
    </xf>
    <xf numFmtId="168" fontId="4" fillId="33" borderId="20" xfId="49" applyNumberFormat="1" applyFont="1" applyFill="1" applyBorder="1" applyAlignment="1">
      <alignment/>
    </xf>
    <xf numFmtId="168" fontId="5" fillId="34" borderId="20" xfId="49" applyNumberFormat="1" applyFont="1" applyFill="1" applyBorder="1" applyAlignment="1">
      <alignment/>
    </xf>
    <xf numFmtId="168" fontId="4" fillId="33" borderId="72" xfId="49" applyNumberFormat="1" applyFont="1" applyFill="1" applyBorder="1" applyAlignment="1">
      <alignment/>
    </xf>
    <xf numFmtId="168" fontId="5" fillId="34" borderId="72" xfId="49" applyNumberFormat="1" applyFont="1" applyFill="1" applyBorder="1" applyAlignment="1">
      <alignment/>
    </xf>
    <xf numFmtId="168" fontId="5" fillId="0" borderId="72" xfId="49" applyNumberFormat="1" applyFont="1" applyBorder="1" applyAlignment="1">
      <alignment/>
    </xf>
    <xf numFmtId="168" fontId="4" fillId="33" borderId="72" xfId="49" applyNumberFormat="1" applyFont="1" applyFill="1" applyBorder="1" applyAlignment="1">
      <alignment/>
    </xf>
    <xf numFmtId="168" fontId="5" fillId="0" borderId="73" xfId="49" applyNumberFormat="1" applyFont="1" applyBorder="1" applyAlignment="1">
      <alignment/>
    </xf>
    <xf numFmtId="168" fontId="4" fillId="33" borderId="74" xfId="49" applyNumberFormat="1" applyFont="1" applyFill="1" applyBorder="1" applyAlignment="1">
      <alignment/>
    </xf>
    <xf numFmtId="168" fontId="5" fillId="0" borderId="71" xfId="49" applyNumberFormat="1" applyFont="1" applyBorder="1" applyAlignment="1">
      <alignment/>
    </xf>
    <xf numFmtId="168" fontId="5" fillId="0" borderId="72" xfId="49" applyNumberFormat="1" applyFont="1" applyFill="1" applyBorder="1" applyAlignment="1">
      <alignment/>
    </xf>
    <xf numFmtId="168" fontId="5" fillId="34" borderId="72" xfId="49" applyNumberFormat="1" applyFont="1" applyFill="1" applyBorder="1" applyAlignment="1">
      <alignment/>
    </xf>
    <xf numFmtId="168" fontId="4" fillId="33" borderId="10" xfId="49" applyNumberFormat="1" applyFont="1" applyFill="1" applyBorder="1" applyAlignment="1">
      <alignment/>
    </xf>
    <xf numFmtId="168" fontId="4" fillId="33" borderId="20" xfId="49" applyNumberFormat="1" applyFont="1" applyFill="1" applyBorder="1" applyAlignment="1">
      <alignment/>
    </xf>
    <xf numFmtId="168" fontId="4" fillId="33" borderId="13" xfId="49" applyNumberFormat="1" applyFont="1" applyFill="1" applyBorder="1" applyAlignment="1">
      <alignment/>
    </xf>
    <xf numFmtId="177" fontId="4" fillId="0" borderId="85" xfId="49" applyNumberFormat="1" applyFont="1" applyFill="1" applyBorder="1" applyAlignment="1">
      <alignment horizontal="center" vertical="center"/>
    </xf>
    <xf numFmtId="177" fontId="4" fillId="0" borderId="86" xfId="49" applyNumberFormat="1" applyFont="1" applyFill="1" applyBorder="1" applyAlignment="1">
      <alignment horizontal="center" vertical="center" wrapText="1"/>
    </xf>
    <xf numFmtId="177" fontId="4" fillId="33" borderId="87" xfId="49" applyNumberFormat="1" applyFont="1" applyFill="1" applyBorder="1" applyAlignment="1">
      <alignment/>
    </xf>
    <xf numFmtId="177" fontId="5" fillId="0" borderId="88" xfId="49" applyNumberFormat="1" applyFont="1" applyFill="1" applyBorder="1" applyAlignment="1">
      <alignment/>
    </xf>
    <xf numFmtId="177" fontId="4" fillId="33" borderId="88" xfId="49" applyNumberFormat="1" applyFont="1" applyFill="1" applyBorder="1" applyAlignment="1">
      <alignment/>
    </xf>
    <xf numFmtId="177" fontId="4" fillId="33" borderId="88" xfId="49" applyNumberFormat="1" applyFont="1" applyFill="1" applyBorder="1" applyAlignment="1">
      <alignment/>
    </xf>
    <xf numFmtId="177" fontId="4" fillId="33" borderId="89" xfId="49" applyNumberFormat="1" applyFont="1" applyFill="1" applyBorder="1" applyAlignment="1">
      <alignment/>
    </xf>
    <xf numFmtId="177" fontId="5" fillId="0" borderId="87" xfId="49" applyNumberFormat="1" applyFont="1" applyBorder="1" applyAlignment="1">
      <alignment/>
    </xf>
    <xf numFmtId="177" fontId="4" fillId="33" borderId="85" xfId="49" applyNumberFormat="1" applyFont="1" applyFill="1" applyBorder="1" applyAlignment="1">
      <alignment/>
    </xf>
    <xf numFmtId="177" fontId="4" fillId="33" borderId="86" xfId="49" applyNumberFormat="1" applyFont="1" applyFill="1" applyBorder="1" applyAlignment="1">
      <alignment/>
    </xf>
    <xf numFmtId="0" fontId="4" fillId="0" borderId="90" xfId="536" applyFont="1" applyFill="1" applyBorder="1" applyAlignment="1">
      <alignment horizontal="center" vertical="center"/>
      <protection/>
    </xf>
    <xf numFmtId="0" fontId="4" fillId="0" borderId="91" xfId="536" applyFont="1" applyFill="1" applyBorder="1" applyAlignment="1">
      <alignment horizontal="center" vertical="center"/>
      <protection/>
    </xf>
    <xf numFmtId="0" fontId="4" fillId="0" borderId="0" xfId="536" applyFont="1" applyBorder="1" applyAlignment="1">
      <alignment horizontal="center"/>
      <protection/>
    </xf>
    <xf numFmtId="168" fontId="4" fillId="0" borderId="0" xfId="49" applyFont="1" applyBorder="1" applyAlignment="1">
      <alignment horizontal="center"/>
    </xf>
    <xf numFmtId="49" fontId="4" fillId="0" borderId="0" xfId="536" applyNumberFormat="1" applyFont="1" applyAlignment="1">
      <alignment horizontal="center"/>
      <protection/>
    </xf>
    <xf numFmtId="49" fontId="4" fillId="0" borderId="0" xfId="49" applyNumberFormat="1" applyFont="1" applyBorder="1" applyAlignment="1">
      <alignment horizontal="center"/>
    </xf>
    <xf numFmtId="49" fontId="4" fillId="0" borderId="90" xfId="536" applyNumberFormat="1" applyFont="1" applyBorder="1" applyAlignment="1">
      <alignment horizontal="center" vertical="center"/>
      <protection/>
    </xf>
    <xf numFmtId="49" fontId="4" fillId="0" borderId="91" xfId="536" applyNumberFormat="1" applyFont="1" applyBorder="1" applyAlignment="1">
      <alignment horizontal="center" vertical="center"/>
      <protection/>
    </xf>
    <xf numFmtId="177" fontId="4" fillId="0" borderId="92" xfId="49" applyNumberFormat="1" applyFont="1" applyFill="1" applyBorder="1" applyAlignment="1">
      <alignment horizontal="center" vertical="center"/>
    </xf>
    <xf numFmtId="177" fontId="4" fillId="0" borderId="93" xfId="49" applyNumberFormat="1" applyFont="1" applyFill="1" applyBorder="1" applyAlignment="1">
      <alignment horizontal="center" vertical="center"/>
    </xf>
    <xf numFmtId="177" fontId="4" fillId="0" borderId="92" xfId="49" applyNumberFormat="1" applyFont="1" applyFill="1" applyBorder="1" applyAlignment="1">
      <alignment horizontal="center" vertical="center" wrapText="1"/>
    </xf>
    <xf numFmtId="177" fontId="4" fillId="0" borderId="93" xfId="49" applyNumberFormat="1" applyFont="1" applyFill="1" applyBorder="1" applyAlignment="1">
      <alignment horizontal="center" vertical="center" wrapText="1"/>
    </xf>
    <xf numFmtId="49" fontId="5" fillId="0" borderId="0" xfId="536" applyNumberFormat="1" applyFont="1" applyBorder="1" applyAlignment="1">
      <alignment horizontal="center"/>
      <protection/>
    </xf>
    <xf numFmtId="0" fontId="4" fillId="0" borderId="0" xfId="536" applyFont="1" applyAlignment="1">
      <alignment horizontal="center"/>
      <protection/>
    </xf>
    <xf numFmtId="0" fontId="4" fillId="0" borderId="90" xfId="536" applyFont="1" applyBorder="1" applyAlignment="1">
      <alignment horizontal="center" vertical="center"/>
      <protection/>
    </xf>
    <xf numFmtId="0" fontId="4" fillId="0" borderId="91" xfId="536" applyFont="1" applyBorder="1" applyAlignment="1">
      <alignment horizontal="center" vertical="center"/>
      <protection/>
    </xf>
    <xf numFmtId="0" fontId="63" fillId="0" borderId="89" xfId="0" applyFont="1" applyBorder="1" applyAlignment="1">
      <alignment horizontal="center" vertical="center" wrapText="1"/>
    </xf>
    <xf numFmtId="0" fontId="63" fillId="0" borderId="94" xfId="0" applyFont="1" applyBorder="1" applyAlignment="1">
      <alignment horizontal="center" vertical="center" wrapText="1"/>
    </xf>
    <xf numFmtId="0" fontId="63" fillId="0" borderId="48" xfId="0" applyFont="1" applyBorder="1" applyAlignment="1">
      <alignment horizontal="center" vertical="center" wrapText="1"/>
    </xf>
    <xf numFmtId="10" fontId="62" fillId="0" borderId="59" xfId="547" applyNumberFormat="1" applyFont="1" applyBorder="1" applyAlignment="1">
      <alignment horizontal="center" vertical="center" wrapText="1"/>
    </xf>
    <xf numFmtId="10" fontId="62" fillId="0" borderId="60" xfId="547" applyNumberFormat="1" applyFont="1" applyBorder="1" applyAlignment="1">
      <alignment horizontal="center" vertical="center" wrapText="1"/>
    </xf>
    <xf numFmtId="10" fontId="62" fillId="0" borderId="42" xfId="547" applyNumberFormat="1" applyFont="1" applyBorder="1" applyAlignment="1">
      <alignment horizontal="center" vertical="center" wrapText="1"/>
    </xf>
    <xf numFmtId="10" fontId="62" fillId="0" borderId="38" xfId="547" applyNumberFormat="1" applyFont="1" applyBorder="1" applyAlignment="1">
      <alignment horizontal="center" vertical="center" wrapText="1"/>
    </xf>
    <xf numFmtId="0" fontId="62" fillId="0" borderId="95" xfId="0" applyFont="1" applyFill="1" applyBorder="1" applyAlignment="1">
      <alignment horizontal="center" vertical="center" wrapText="1"/>
    </xf>
    <xf numFmtId="0" fontId="62" fillId="0" borderId="60" xfId="0" applyFont="1" applyFill="1" applyBorder="1" applyAlignment="1">
      <alignment horizontal="center" vertical="center" wrapText="1"/>
    </xf>
    <xf numFmtId="0" fontId="72" fillId="0" borderId="0" xfId="0" applyFont="1" applyFill="1" applyAlignment="1">
      <alignment horizontal="center" vertical="center" wrapText="1"/>
    </xf>
    <xf numFmtId="0" fontId="67" fillId="0" borderId="0" xfId="0" applyFont="1" applyFill="1" applyAlignment="1">
      <alignment horizontal="center" vertical="center" wrapText="1"/>
    </xf>
    <xf numFmtId="0" fontId="4" fillId="0" borderId="37" xfId="541" applyFont="1" applyBorder="1" applyAlignment="1">
      <alignment horizontal="center" vertical="center"/>
      <protection/>
    </xf>
    <xf numFmtId="0" fontId="4" fillId="0" borderId="35" xfId="541" applyFont="1" applyBorder="1" applyAlignment="1">
      <alignment horizontal="center" vertical="center"/>
      <protection/>
    </xf>
    <xf numFmtId="0" fontId="67" fillId="0" borderId="96" xfId="0" applyFont="1" applyBorder="1" applyAlignment="1">
      <alignment horizontal="center"/>
    </xf>
    <xf numFmtId="0" fontId="67" fillId="0" borderId="97" xfId="0" applyFont="1" applyBorder="1" applyAlignment="1">
      <alignment horizontal="center"/>
    </xf>
    <xf numFmtId="0" fontId="67" fillId="0" borderId="65" xfId="0" applyFont="1" applyBorder="1" applyAlignment="1">
      <alignment horizontal="center"/>
    </xf>
    <xf numFmtId="0" fontId="67" fillId="0" borderId="98" xfId="0" applyFont="1" applyBorder="1" applyAlignment="1">
      <alignment horizontal="center"/>
    </xf>
    <xf numFmtId="0" fontId="67" fillId="0" borderId="76" xfId="0" applyFont="1" applyBorder="1" applyAlignment="1">
      <alignment horizontal="center"/>
    </xf>
    <xf numFmtId="0" fontId="67" fillId="0" borderId="99" xfId="0" applyFont="1" applyBorder="1" applyAlignment="1">
      <alignment horizontal="center"/>
    </xf>
    <xf numFmtId="0" fontId="5" fillId="0" borderId="95" xfId="541" applyFont="1" applyBorder="1" applyAlignment="1">
      <alignment horizontal="left" vertical="center" wrapText="1"/>
      <protection/>
    </xf>
    <xf numFmtId="0" fontId="5" fillId="0" borderId="50" xfId="541" applyFont="1" applyBorder="1" applyAlignment="1">
      <alignment horizontal="left" vertical="center"/>
      <protection/>
    </xf>
    <xf numFmtId="0" fontId="5" fillId="0" borderId="47" xfId="541" applyFont="1" applyBorder="1" applyAlignment="1">
      <alignment horizontal="justify" vertical="center" wrapText="1"/>
      <protection/>
    </xf>
    <xf numFmtId="0" fontId="5" fillId="0" borderId="61" xfId="541" applyFont="1" applyBorder="1" applyAlignment="1">
      <alignment horizontal="justify" vertical="center"/>
      <protection/>
    </xf>
    <xf numFmtId="0" fontId="5" fillId="0" borderId="50" xfId="541" applyFont="1" applyBorder="1" applyAlignment="1">
      <alignment horizontal="left" vertical="center" wrapText="1"/>
      <protection/>
    </xf>
    <xf numFmtId="0" fontId="5" fillId="0" borderId="60" xfId="541" applyFont="1" applyBorder="1" applyAlignment="1">
      <alignment horizontal="left" vertical="center" wrapText="1"/>
      <protection/>
    </xf>
    <xf numFmtId="0" fontId="5" fillId="0" borderId="61" xfId="541" applyFont="1" applyBorder="1" applyAlignment="1">
      <alignment horizontal="justify" vertical="center" wrapText="1"/>
      <protection/>
    </xf>
    <xf numFmtId="0" fontId="5" fillId="0" borderId="44" xfId="541" applyFont="1" applyBorder="1" applyAlignment="1">
      <alignment horizontal="justify" vertical="center"/>
      <protection/>
    </xf>
    <xf numFmtId="0" fontId="4" fillId="0" borderId="49" xfId="541" applyFont="1" applyBorder="1" applyAlignment="1">
      <alignment horizontal="right" vertical="center"/>
      <protection/>
    </xf>
    <xf numFmtId="0" fontId="4" fillId="0" borderId="49" xfId="541" applyFont="1" applyBorder="1" applyAlignment="1">
      <alignment horizontal="center" vertical="center"/>
      <protection/>
    </xf>
    <xf numFmtId="0" fontId="5" fillId="0" borderId="49" xfId="541" applyFont="1" applyBorder="1" applyAlignment="1">
      <alignment horizontal="center" vertical="center"/>
      <protection/>
    </xf>
    <xf numFmtId="0" fontId="5" fillId="0" borderId="49" xfId="541" applyFont="1" applyBorder="1" applyAlignment="1">
      <alignment horizontal="center" vertical="center" wrapText="1"/>
      <protection/>
    </xf>
    <xf numFmtId="0" fontId="67" fillId="0" borderId="100" xfId="0" applyFont="1" applyFill="1" applyBorder="1" applyAlignment="1">
      <alignment horizontal="center" vertical="center" wrapText="1"/>
    </xf>
    <xf numFmtId="0" fontId="67" fillId="0" borderId="101" xfId="0" applyFont="1" applyFill="1" applyBorder="1" applyAlignment="1">
      <alignment horizontal="center" vertical="center" wrapText="1"/>
    </xf>
    <xf numFmtId="0" fontId="67" fillId="0" borderId="102" xfId="0" applyFont="1" applyFill="1" applyBorder="1" applyAlignment="1">
      <alignment horizontal="center" vertical="center" wrapText="1"/>
    </xf>
    <xf numFmtId="0" fontId="73" fillId="39" borderId="0" xfId="0" applyFont="1" applyFill="1" applyBorder="1" applyAlignment="1">
      <alignment horizontal="center" vertical="center"/>
    </xf>
    <xf numFmtId="0" fontId="66" fillId="0" borderId="49" xfId="0" applyFont="1" applyBorder="1" applyAlignment="1">
      <alignment horizontal="center" vertical="center" wrapText="1"/>
    </xf>
    <xf numFmtId="0" fontId="66" fillId="0" borderId="52" xfId="0" applyFont="1" applyBorder="1" applyAlignment="1">
      <alignment horizontal="center" vertical="center" wrapText="1"/>
    </xf>
    <xf numFmtId="0" fontId="66" fillId="0" borderId="54"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52" xfId="0" applyFont="1" applyBorder="1" applyAlignment="1">
      <alignment horizontal="center" vertical="center"/>
    </xf>
    <xf numFmtId="0" fontId="66" fillId="0" borderId="54" xfId="0" applyFont="1" applyBorder="1" applyAlignment="1">
      <alignment horizontal="center" vertical="center"/>
    </xf>
    <xf numFmtId="0" fontId="66" fillId="0" borderId="46" xfId="0" applyFont="1" applyBorder="1" applyAlignment="1">
      <alignment horizontal="center" vertical="center"/>
    </xf>
    <xf numFmtId="0" fontId="4" fillId="0" borderId="0" xfId="0" applyFont="1" applyAlignment="1">
      <alignment horizontal="center" vertical="center" wrapText="1"/>
    </xf>
    <xf numFmtId="0" fontId="67" fillId="0" borderId="0" xfId="539" applyFont="1" applyAlignment="1">
      <alignment horizontal="center" vertical="center" wrapText="1"/>
      <protection/>
    </xf>
    <xf numFmtId="0" fontId="73" fillId="39" borderId="0" xfId="539" applyFont="1" applyFill="1" applyAlignment="1">
      <alignment horizontal="center" vertical="center"/>
      <protection/>
    </xf>
    <xf numFmtId="0" fontId="66" fillId="0" borderId="52" xfId="539" applyFont="1" applyBorder="1" applyAlignment="1">
      <alignment horizontal="center" vertical="center" wrapText="1"/>
      <protection/>
    </xf>
    <xf numFmtId="0" fontId="66" fillId="0" borderId="46" xfId="539" applyFont="1" applyBorder="1" applyAlignment="1">
      <alignment horizontal="center" vertical="center" wrapText="1"/>
      <protection/>
    </xf>
    <xf numFmtId="0" fontId="73" fillId="39" borderId="49" xfId="539" applyFont="1" applyFill="1" applyBorder="1" applyAlignment="1">
      <alignment horizontal="center" vertical="center"/>
      <protection/>
    </xf>
    <xf numFmtId="0" fontId="66" fillId="0" borderId="49" xfId="539" applyFont="1" applyBorder="1" applyAlignment="1">
      <alignment horizontal="center" vertical="center" wrapText="1"/>
      <protection/>
    </xf>
    <xf numFmtId="0" fontId="4" fillId="0" borderId="0" xfId="545" applyFont="1" applyAlignment="1">
      <alignment horizontal="center" vertical="center" wrapText="1"/>
      <protection/>
    </xf>
    <xf numFmtId="0" fontId="74" fillId="0" borderId="0" xfId="0" applyFont="1" applyAlignment="1">
      <alignment horizontal="center" vertical="center" wrapText="1"/>
    </xf>
    <xf numFmtId="0" fontId="75" fillId="36" borderId="59" xfId="0" applyFont="1" applyFill="1" applyBorder="1" applyAlignment="1">
      <alignment horizontal="left" vertical="center" wrapText="1"/>
    </xf>
    <xf numFmtId="0" fontId="75" fillId="36" borderId="42" xfId="0" applyFont="1" applyFill="1" applyBorder="1" applyAlignment="1">
      <alignment horizontal="left" vertical="center" wrapText="1"/>
    </xf>
    <xf numFmtId="0" fontId="75" fillId="36" borderId="103" xfId="0" applyFont="1" applyFill="1" applyBorder="1" applyAlignment="1">
      <alignment horizontal="left" vertical="center" wrapText="1"/>
    </xf>
  </cellXfs>
  <cellStyles count="5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2 2" xfId="53"/>
    <cellStyle name="Millares [0] 2 3" xfId="54"/>
    <cellStyle name="Millares [0] 3" xfId="55"/>
    <cellStyle name="Millares [0] 3 2" xfId="56"/>
    <cellStyle name="Millares [0] 4" xfId="57"/>
    <cellStyle name="Millares [0] 5" xfId="58"/>
    <cellStyle name="Millares 10" xfId="59"/>
    <cellStyle name="Millares 10 2" xfId="60"/>
    <cellStyle name="Millares 10 2 2" xfId="61"/>
    <cellStyle name="Millares 10 3" xfId="62"/>
    <cellStyle name="Millares 10 3 2" xfId="63"/>
    <cellStyle name="Millares 10 4" xfId="64"/>
    <cellStyle name="Millares 10 4 2" xfId="65"/>
    <cellStyle name="Millares 10 5" xfId="66"/>
    <cellStyle name="Millares 11" xfId="67"/>
    <cellStyle name="Millares 11 2" xfId="68"/>
    <cellStyle name="Millares 11 2 2" xfId="69"/>
    <cellStyle name="Millares 11 3" xfId="70"/>
    <cellStyle name="Millares 11 3 2" xfId="71"/>
    <cellStyle name="Millares 11 4" xfId="72"/>
    <cellStyle name="Millares 11 4 2" xfId="73"/>
    <cellStyle name="Millares 11 5" xfId="74"/>
    <cellStyle name="Millares 12" xfId="75"/>
    <cellStyle name="Millares 12 2" xfId="76"/>
    <cellStyle name="Millares 12 2 2" xfId="77"/>
    <cellStyle name="Millares 12 3" xfId="78"/>
    <cellStyle name="Millares 12 3 2" xfId="79"/>
    <cellStyle name="Millares 12 4" xfId="80"/>
    <cellStyle name="Millares 12 4 2" xfId="81"/>
    <cellStyle name="Millares 12 5" xfId="82"/>
    <cellStyle name="Millares 13" xfId="83"/>
    <cellStyle name="Millares 13 2" xfId="84"/>
    <cellStyle name="Millares 13 2 2" xfId="85"/>
    <cellStyle name="Millares 13 3" xfId="86"/>
    <cellStyle name="Millares 13 3 2" xfId="87"/>
    <cellStyle name="Millares 13 4" xfId="88"/>
    <cellStyle name="Millares 13 4 2" xfId="89"/>
    <cellStyle name="Millares 13 5" xfId="90"/>
    <cellStyle name="Millares 14" xfId="91"/>
    <cellStyle name="Millares 14 2" xfId="92"/>
    <cellStyle name="Millares 14 2 2" xfId="93"/>
    <cellStyle name="Millares 14 3" xfId="94"/>
    <cellStyle name="Millares 14 3 2" xfId="95"/>
    <cellStyle name="Millares 14 4" xfId="96"/>
    <cellStyle name="Millares 14 4 2" xfId="97"/>
    <cellStyle name="Millares 14 5" xfId="98"/>
    <cellStyle name="Millares 15" xfId="99"/>
    <cellStyle name="Millares 15 2" xfId="100"/>
    <cellStyle name="Millares 15 2 2" xfId="101"/>
    <cellStyle name="Millares 15 3" xfId="102"/>
    <cellStyle name="Millares 15 3 2" xfId="103"/>
    <cellStyle name="Millares 15 4" xfId="104"/>
    <cellStyle name="Millares 15 4 2" xfId="105"/>
    <cellStyle name="Millares 15 5" xfId="106"/>
    <cellStyle name="Millares 16" xfId="107"/>
    <cellStyle name="Millares 16 2" xfId="108"/>
    <cellStyle name="Millares 16 2 2" xfId="109"/>
    <cellStyle name="Millares 16 3" xfId="110"/>
    <cellStyle name="Millares 16 3 2" xfId="111"/>
    <cellStyle name="Millares 16 4" xfId="112"/>
    <cellStyle name="Millares 16 4 2" xfId="113"/>
    <cellStyle name="Millares 16 5" xfId="114"/>
    <cellStyle name="Millares 17" xfId="115"/>
    <cellStyle name="Millares 17 2" xfId="116"/>
    <cellStyle name="Millares 17 2 2" xfId="117"/>
    <cellStyle name="Millares 17 3" xfId="118"/>
    <cellStyle name="Millares 17 3 2" xfId="119"/>
    <cellStyle name="Millares 17 4" xfId="120"/>
    <cellStyle name="Millares 17 4 2" xfId="121"/>
    <cellStyle name="Millares 17 5" xfId="122"/>
    <cellStyle name="Millares 18" xfId="123"/>
    <cellStyle name="Millares 18 2" xfId="124"/>
    <cellStyle name="Millares 18 2 2" xfId="125"/>
    <cellStyle name="Millares 18 3" xfId="126"/>
    <cellStyle name="Millares 18 3 2" xfId="127"/>
    <cellStyle name="Millares 18 4" xfId="128"/>
    <cellStyle name="Millares 18 4 2" xfId="129"/>
    <cellStyle name="Millares 18 5" xfId="130"/>
    <cellStyle name="Millares 19" xfId="131"/>
    <cellStyle name="Millares 19 2" xfId="132"/>
    <cellStyle name="Millares 19 2 2" xfId="133"/>
    <cellStyle name="Millares 19 3" xfId="134"/>
    <cellStyle name="Millares 19 3 2" xfId="135"/>
    <cellStyle name="Millares 19 4" xfId="136"/>
    <cellStyle name="Millares 19 4 2" xfId="137"/>
    <cellStyle name="Millares 19 5" xfId="138"/>
    <cellStyle name="Millares 2" xfId="139"/>
    <cellStyle name="Millares 2 2" xfId="140"/>
    <cellStyle name="Millares 2 2 2" xfId="141"/>
    <cellStyle name="Millares 2 2 2 2" xfId="142"/>
    <cellStyle name="Millares 2 2 2 2 2" xfId="143"/>
    <cellStyle name="Millares 2 2 2 3" xfId="144"/>
    <cellStyle name="Millares 2 2 2 3 2" xfId="145"/>
    <cellStyle name="Millares 2 2 2 4" xfId="146"/>
    <cellStyle name="Millares 2 2 2 4 2" xfId="147"/>
    <cellStyle name="Millares 2 2 2 5" xfId="148"/>
    <cellStyle name="Millares 2 2 3" xfId="149"/>
    <cellStyle name="Millares 2 2 4" xfId="150"/>
    <cellStyle name="Millares 2 2 5" xfId="151"/>
    <cellStyle name="Millares 2 3" xfId="152"/>
    <cellStyle name="Millares 2 3 2" xfId="153"/>
    <cellStyle name="Millares 2 3 2 2" xfId="154"/>
    <cellStyle name="Millares 2 3 3" xfId="155"/>
    <cellStyle name="Millares 2 3 3 2" xfId="156"/>
    <cellStyle name="Millares 2 3 4" xfId="157"/>
    <cellStyle name="Millares 2 3 4 2" xfId="158"/>
    <cellStyle name="Millares 2 3 5" xfId="159"/>
    <cellStyle name="Millares 2 4" xfId="160"/>
    <cellStyle name="Millares 2 4 2" xfId="161"/>
    <cellStyle name="Millares 2 4 3" xfId="162"/>
    <cellStyle name="Millares 2 5" xfId="163"/>
    <cellStyle name="Millares 20" xfId="164"/>
    <cellStyle name="Millares 20 2" xfId="165"/>
    <cellStyle name="Millares 20 2 2" xfId="166"/>
    <cellStyle name="Millares 20 3" xfId="167"/>
    <cellStyle name="Millares 20 3 2" xfId="168"/>
    <cellStyle name="Millares 20 4" xfId="169"/>
    <cellStyle name="Millares 20 4 2" xfId="170"/>
    <cellStyle name="Millares 20 5" xfId="171"/>
    <cellStyle name="Millares 21" xfId="172"/>
    <cellStyle name="Millares 21 2" xfId="173"/>
    <cellStyle name="Millares 21 2 2" xfId="174"/>
    <cellStyle name="Millares 21 3" xfId="175"/>
    <cellStyle name="Millares 21 3 2" xfId="176"/>
    <cellStyle name="Millares 21 4" xfId="177"/>
    <cellStyle name="Millares 21 4 2" xfId="178"/>
    <cellStyle name="Millares 21 5" xfId="179"/>
    <cellStyle name="Millares 22" xfId="180"/>
    <cellStyle name="Millares 22 2" xfId="181"/>
    <cellStyle name="Millares 22 2 2" xfId="182"/>
    <cellStyle name="Millares 22 3" xfId="183"/>
    <cellStyle name="Millares 22 3 2" xfId="184"/>
    <cellStyle name="Millares 22 4" xfId="185"/>
    <cellStyle name="Millares 22 4 2" xfId="186"/>
    <cellStyle name="Millares 22 5" xfId="187"/>
    <cellStyle name="Millares 23" xfId="188"/>
    <cellStyle name="Millares 23 2" xfId="189"/>
    <cellStyle name="Millares 23 2 2" xfId="190"/>
    <cellStyle name="Millares 23 3" xfId="191"/>
    <cellStyle name="Millares 23 3 2" xfId="192"/>
    <cellStyle name="Millares 23 4" xfId="193"/>
    <cellStyle name="Millares 23 4 2" xfId="194"/>
    <cellStyle name="Millares 23 5" xfId="195"/>
    <cellStyle name="Millares 24" xfId="196"/>
    <cellStyle name="Millares 24 2" xfId="197"/>
    <cellStyle name="Millares 25" xfId="198"/>
    <cellStyle name="Millares 25 2" xfId="199"/>
    <cellStyle name="Millares 26" xfId="200"/>
    <cellStyle name="Millares 26 2" xfId="201"/>
    <cellStyle name="Millares 27" xfId="202"/>
    <cellStyle name="Millares 27 2" xfId="203"/>
    <cellStyle name="Millares 28" xfId="204"/>
    <cellStyle name="Millares 28 2" xfId="205"/>
    <cellStyle name="Millares 29" xfId="206"/>
    <cellStyle name="Millares 29 2" xfId="207"/>
    <cellStyle name="Millares 3" xfId="208"/>
    <cellStyle name="Millares 3 2" xfId="209"/>
    <cellStyle name="Millares 30" xfId="210"/>
    <cellStyle name="Millares 30 2" xfId="211"/>
    <cellStyle name="Millares 31" xfId="212"/>
    <cellStyle name="Millares 31 2" xfId="213"/>
    <cellStyle name="Millares 32" xfId="214"/>
    <cellStyle name="Millares 32 2" xfId="215"/>
    <cellStyle name="Millares 33" xfId="216"/>
    <cellStyle name="Millares 33 2" xfId="217"/>
    <cellStyle name="Millares 34" xfId="218"/>
    <cellStyle name="Millares 34 2" xfId="219"/>
    <cellStyle name="Millares 35" xfId="220"/>
    <cellStyle name="Millares 35 2" xfId="221"/>
    <cellStyle name="Millares 36" xfId="222"/>
    <cellStyle name="Millares 36 2" xfId="223"/>
    <cellStyle name="Millares 37" xfId="224"/>
    <cellStyle name="Millares 37 2" xfId="225"/>
    <cellStyle name="Millares 38" xfId="226"/>
    <cellStyle name="Millares 38 2" xfId="227"/>
    <cellStyle name="Millares 38 3" xfId="228"/>
    <cellStyle name="Millares 39" xfId="229"/>
    <cellStyle name="Millares 4" xfId="230"/>
    <cellStyle name="Millares 4 2" xfId="231"/>
    <cellStyle name="Millares 4 2 2" xfId="232"/>
    <cellStyle name="Millares 4 2 2 2" xfId="233"/>
    <cellStyle name="Millares 4 2 2 2 2" xfId="234"/>
    <cellStyle name="Millares 4 2 2 3" xfId="235"/>
    <cellStyle name="Millares 4 2 2 3 2" xfId="236"/>
    <cellStyle name="Millares 4 2 2 4" xfId="237"/>
    <cellStyle name="Millares 4 2 2 4 2" xfId="238"/>
    <cellStyle name="Millares 4 2 2 5" xfId="239"/>
    <cellStyle name="Millares 4 2 3" xfId="240"/>
    <cellStyle name="Millares 4 2 3 2" xfId="241"/>
    <cellStyle name="Millares 4 2 3 2 2" xfId="242"/>
    <cellStyle name="Millares 4 2 3 3" xfId="243"/>
    <cellStyle name="Millares 4 2 3 3 2" xfId="244"/>
    <cellStyle name="Millares 4 2 3 4" xfId="245"/>
    <cellStyle name="Millares 4 2 3 4 2" xfId="246"/>
    <cellStyle name="Millares 4 2 3 5" xfId="247"/>
    <cellStyle name="Millares 4 2 4" xfId="248"/>
    <cellStyle name="Millares 4 2 4 2" xfId="249"/>
    <cellStyle name="Millares 4 2 5" xfId="250"/>
    <cellStyle name="Millares 4 2 5 2" xfId="251"/>
    <cellStyle name="Millares 4 2 6" xfId="252"/>
    <cellStyle name="Millares 4 2 6 2" xfId="253"/>
    <cellStyle name="Millares 4 2 7" xfId="254"/>
    <cellStyle name="Millares 4 3" xfId="255"/>
    <cellStyle name="Millares 4 3 2" xfId="256"/>
    <cellStyle name="Millares 4 3 2 2" xfId="257"/>
    <cellStyle name="Millares 4 3 2 2 2" xfId="258"/>
    <cellStyle name="Millares 4 3 2 3" xfId="259"/>
    <cellStyle name="Millares 4 3 2 3 2" xfId="260"/>
    <cellStyle name="Millares 4 3 2 4" xfId="261"/>
    <cellStyle name="Millares 4 3 2 4 2" xfId="262"/>
    <cellStyle name="Millares 4 3 2 5" xfId="263"/>
    <cellStyle name="Millares 4 3 3" xfId="264"/>
    <cellStyle name="Millares 4 3 3 2" xfId="265"/>
    <cellStyle name="Millares 4 3 3 2 2" xfId="266"/>
    <cellStyle name="Millares 4 3 3 3" xfId="267"/>
    <cellStyle name="Millares 4 3 3 3 2" xfId="268"/>
    <cellStyle name="Millares 4 3 3 4" xfId="269"/>
    <cellStyle name="Millares 4 3 3 4 2" xfId="270"/>
    <cellStyle name="Millares 4 3 3 5" xfId="271"/>
    <cellStyle name="Millares 4 3 4" xfId="272"/>
    <cellStyle name="Millares 4 3 4 2" xfId="273"/>
    <cellStyle name="Millares 4 3 5" xfId="274"/>
    <cellStyle name="Millares 4 3 5 2" xfId="275"/>
    <cellStyle name="Millares 4 3 6" xfId="276"/>
    <cellStyle name="Millares 4 3 6 2" xfId="277"/>
    <cellStyle name="Millares 4 3 7" xfId="278"/>
    <cellStyle name="Millares 4 4" xfId="279"/>
    <cellStyle name="Millares 4 4 2" xfId="280"/>
    <cellStyle name="Millares 4 4 2 2" xfId="281"/>
    <cellStyle name="Millares 4 4 3" xfId="282"/>
    <cellStyle name="Millares 4 4 3 2" xfId="283"/>
    <cellStyle name="Millares 4 4 4" xfId="284"/>
    <cellStyle name="Millares 4 4 4 2" xfId="285"/>
    <cellStyle name="Millares 4 4 5" xfId="286"/>
    <cellStyle name="Millares 4 5" xfId="287"/>
    <cellStyle name="Millares 4 5 2" xfId="288"/>
    <cellStyle name="Millares 4 5 2 2" xfId="289"/>
    <cellStyle name="Millares 4 5 3" xfId="290"/>
    <cellStyle name="Millares 4 5 3 2" xfId="291"/>
    <cellStyle name="Millares 4 5 4" xfId="292"/>
    <cellStyle name="Millares 4 5 4 2" xfId="293"/>
    <cellStyle name="Millares 4 5 5" xfId="294"/>
    <cellStyle name="Millares 4 6" xfId="295"/>
    <cellStyle name="Millares 4 6 2" xfId="296"/>
    <cellStyle name="Millares 4 7" xfId="297"/>
    <cellStyle name="Millares 4 7 2" xfId="298"/>
    <cellStyle name="Millares 4 8" xfId="299"/>
    <cellStyle name="Millares 4 8 2" xfId="300"/>
    <cellStyle name="Millares 4 9" xfId="301"/>
    <cellStyle name="Millares 40" xfId="302"/>
    <cellStyle name="Millares 41" xfId="303"/>
    <cellStyle name="Millares 41 2" xfId="304"/>
    <cellStyle name="Millares 41 3" xfId="305"/>
    <cellStyle name="Millares 42" xfId="306"/>
    <cellStyle name="Millares 42 2" xfId="307"/>
    <cellStyle name="Millares 42 3" xfId="308"/>
    <cellStyle name="Millares 43" xfId="309"/>
    <cellStyle name="Millares 43 2" xfId="310"/>
    <cellStyle name="Millares 43 3" xfId="311"/>
    <cellStyle name="Millares 44" xfId="312"/>
    <cellStyle name="Millares 5" xfId="313"/>
    <cellStyle name="Millares 5 2" xfId="314"/>
    <cellStyle name="Millares 5 2 2" xfId="315"/>
    <cellStyle name="Millares 5 2 2 2" xfId="316"/>
    <cellStyle name="Millares 5 2 2 2 2" xfId="317"/>
    <cellStyle name="Millares 5 2 2 3" xfId="318"/>
    <cellStyle name="Millares 5 2 2 3 2" xfId="319"/>
    <cellStyle name="Millares 5 2 2 4" xfId="320"/>
    <cellStyle name="Millares 5 2 2 4 2" xfId="321"/>
    <cellStyle name="Millares 5 2 2 5" xfId="322"/>
    <cellStyle name="Millares 5 2 3" xfId="323"/>
    <cellStyle name="Millares 5 2 3 2" xfId="324"/>
    <cellStyle name="Millares 5 2 3 2 2" xfId="325"/>
    <cellStyle name="Millares 5 2 3 3" xfId="326"/>
    <cellStyle name="Millares 5 2 3 3 2" xfId="327"/>
    <cellStyle name="Millares 5 2 3 4" xfId="328"/>
    <cellStyle name="Millares 5 2 3 4 2" xfId="329"/>
    <cellStyle name="Millares 5 2 3 5" xfId="330"/>
    <cellStyle name="Millares 5 2 4" xfId="331"/>
    <cellStyle name="Millares 5 2 4 2" xfId="332"/>
    <cellStyle name="Millares 5 2 5" xfId="333"/>
    <cellStyle name="Millares 5 2 5 2" xfId="334"/>
    <cellStyle name="Millares 5 2 6" xfId="335"/>
    <cellStyle name="Millares 5 2 6 2" xfId="336"/>
    <cellStyle name="Millares 5 2 7" xfId="337"/>
    <cellStyle name="Millares 5 3" xfId="338"/>
    <cellStyle name="Millares 5 3 2" xfId="339"/>
    <cellStyle name="Millares 5 3 2 2" xfId="340"/>
    <cellStyle name="Millares 5 3 2 2 2" xfId="341"/>
    <cellStyle name="Millares 5 3 2 3" xfId="342"/>
    <cellStyle name="Millares 5 3 2 3 2" xfId="343"/>
    <cellStyle name="Millares 5 3 2 4" xfId="344"/>
    <cellStyle name="Millares 5 3 2 4 2" xfId="345"/>
    <cellStyle name="Millares 5 3 2 5" xfId="346"/>
    <cellStyle name="Millares 5 3 3" xfId="347"/>
    <cellStyle name="Millares 5 3 3 2" xfId="348"/>
    <cellStyle name="Millares 5 3 3 2 2" xfId="349"/>
    <cellStyle name="Millares 5 3 3 3" xfId="350"/>
    <cellStyle name="Millares 5 3 3 3 2" xfId="351"/>
    <cellStyle name="Millares 5 3 3 4" xfId="352"/>
    <cellStyle name="Millares 5 3 3 4 2" xfId="353"/>
    <cellStyle name="Millares 5 3 3 5" xfId="354"/>
    <cellStyle name="Millares 5 3 4" xfId="355"/>
    <cellStyle name="Millares 5 3 4 2" xfId="356"/>
    <cellStyle name="Millares 5 3 5" xfId="357"/>
    <cellStyle name="Millares 5 3 5 2" xfId="358"/>
    <cellStyle name="Millares 5 3 6" xfId="359"/>
    <cellStyle name="Millares 5 3 6 2" xfId="360"/>
    <cellStyle name="Millares 5 3 7" xfId="361"/>
    <cellStyle name="Millares 5 4" xfId="362"/>
    <cellStyle name="Millares 5 4 2" xfId="363"/>
    <cellStyle name="Millares 5 4 2 2" xfId="364"/>
    <cellStyle name="Millares 5 4 3" xfId="365"/>
    <cellStyle name="Millares 5 4 3 2" xfId="366"/>
    <cellStyle name="Millares 5 4 4" xfId="367"/>
    <cellStyle name="Millares 5 4 4 2" xfId="368"/>
    <cellStyle name="Millares 5 4 5" xfId="369"/>
    <cellStyle name="Millares 5 5" xfId="370"/>
    <cellStyle name="Millares 5 5 2" xfId="371"/>
    <cellStyle name="Millares 5 5 2 2" xfId="372"/>
    <cellStyle name="Millares 5 5 3" xfId="373"/>
    <cellStyle name="Millares 5 5 3 2" xfId="374"/>
    <cellStyle name="Millares 5 5 4" xfId="375"/>
    <cellStyle name="Millares 5 5 4 2" xfId="376"/>
    <cellStyle name="Millares 5 5 5" xfId="377"/>
    <cellStyle name="Millares 5 6" xfId="378"/>
    <cellStyle name="Millares 5 6 2" xfId="379"/>
    <cellStyle name="Millares 5 7" xfId="380"/>
    <cellStyle name="Millares 5 7 2" xfId="381"/>
    <cellStyle name="Millares 5 8" xfId="382"/>
    <cellStyle name="Millares 5 8 2" xfId="383"/>
    <cellStyle name="Millares 5 9" xfId="384"/>
    <cellStyle name="Millares 6" xfId="385"/>
    <cellStyle name="Millares 6 2" xfId="386"/>
    <cellStyle name="Millares 6 2 2" xfId="387"/>
    <cellStyle name="Millares 6 2 2 2" xfId="388"/>
    <cellStyle name="Millares 6 2 3" xfId="389"/>
    <cellStyle name="Millares 6 2 3 2" xfId="390"/>
    <cellStyle name="Millares 6 2 4" xfId="391"/>
    <cellStyle name="Millares 6 2 4 2" xfId="392"/>
    <cellStyle name="Millares 6 2 5" xfId="393"/>
    <cellStyle name="Millares 6 3" xfId="394"/>
    <cellStyle name="Millares 6 3 2" xfId="395"/>
    <cellStyle name="Millares 6 3 2 2" xfId="396"/>
    <cellStyle name="Millares 6 3 3" xfId="397"/>
    <cellStyle name="Millares 6 3 3 2" xfId="398"/>
    <cellStyle name="Millares 6 3 4" xfId="399"/>
    <cellStyle name="Millares 6 3 4 2" xfId="400"/>
    <cellStyle name="Millares 6 3 5" xfId="401"/>
    <cellStyle name="Millares 6 4" xfId="402"/>
    <cellStyle name="Millares 6 4 2" xfId="403"/>
    <cellStyle name="Millares 6 5" xfId="404"/>
    <cellStyle name="Millares 6 5 2" xfId="405"/>
    <cellStyle name="Millares 6 6" xfId="406"/>
    <cellStyle name="Millares 6 6 2" xfId="407"/>
    <cellStyle name="Millares 6 7" xfId="408"/>
    <cellStyle name="Millares 7" xfId="409"/>
    <cellStyle name="Millares 7 2" xfId="410"/>
    <cellStyle name="Millares 7 2 2" xfId="411"/>
    <cellStyle name="Millares 7 2 2 2" xfId="412"/>
    <cellStyle name="Millares 7 2 3" xfId="413"/>
    <cellStyle name="Millares 7 2 3 2" xfId="414"/>
    <cellStyle name="Millares 7 2 4" xfId="415"/>
    <cellStyle name="Millares 7 2 4 2" xfId="416"/>
    <cellStyle name="Millares 7 2 5" xfId="417"/>
    <cellStyle name="Millares 7 3" xfId="418"/>
    <cellStyle name="Millares 7 3 2" xfId="419"/>
    <cellStyle name="Millares 7 3 2 2" xfId="420"/>
    <cellStyle name="Millares 7 3 3" xfId="421"/>
    <cellStyle name="Millares 7 3 3 2" xfId="422"/>
    <cellStyle name="Millares 7 3 4" xfId="423"/>
    <cellStyle name="Millares 7 3 4 2" xfId="424"/>
    <cellStyle name="Millares 7 3 5" xfId="425"/>
    <cellStyle name="Millares 7 4" xfId="426"/>
    <cellStyle name="Millares 7 4 2" xfId="427"/>
    <cellStyle name="Millares 7 5" xfId="428"/>
    <cellStyle name="Millares 7 5 2" xfId="429"/>
    <cellStyle name="Millares 7 6" xfId="430"/>
    <cellStyle name="Millares 7 6 2" xfId="431"/>
    <cellStyle name="Millares 7 7" xfId="432"/>
    <cellStyle name="Millares 8" xfId="433"/>
    <cellStyle name="Millares 8 2" xfId="434"/>
    <cellStyle name="Millares 8 3" xfId="435"/>
    <cellStyle name="Millares 9" xfId="436"/>
    <cellStyle name="Millares 9 2" xfId="437"/>
    <cellStyle name="Millares 9 2 2" xfId="438"/>
    <cellStyle name="Millares 9 2 2 2" xfId="439"/>
    <cellStyle name="Millares 9 2 3" xfId="440"/>
    <cellStyle name="Millares 9 2 3 2" xfId="441"/>
    <cellStyle name="Millares 9 2 4" xfId="442"/>
    <cellStyle name="Millares 9 2 4 2" xfId="443"/>
    <cellStyle name="Millares 9 2 5" xfId="444"/>
    <cellStyle name="Millares 9 3" xfId="445"/>
    <cellStyle name="Millares 9 4" xfId="446"/>
    <cellStyle name="Currency" xfId="447"/>
    <cellStyle name="Currency [0]" xfId="448"/>
    <cellStyle name="Moneda [0] 2" xfId="449"/>
    <cellStyle name="Moneda [0] 2 2" xfId="450"/>
    <cellStyle name="Moneda [0] 2 2 2" xfId="451"/>
    <cellStyle name="Moneda [0] 2 3" xfId="452"/>
    <cellStyle name="Moneda [0] 3" xfId="453"/>
    <cellStyle name="Moneda 2" xfId="454"/>
    <cellStyle name="Moneda 2 2" xfId="455"/>
    <cellStyle name="Moneda 3" xfId="456"/>
    <cellStyle name="Moneda 3 2" xfId="457"/>
    <cellStyle name="Moneda 3 2 2" xfId="458"/>
    <cellStyle name="Moneda 3 2 2 2" xfId="459"/>
    <cellStyle name="Moneda 3 2 2 2 2" xfId="460"/>
    <cellStyle name="Moneda 3 2 2 3" xfId="461"/>
    <cellStyle name="Moneda 3 2 2 3 2" xfId="462"/>
    <cellStyle name="Moneda 3 2 2 4" xfId="463"/>
    <cellStyle name="Moneda 3 2 2 4 2" xfId="464"/>
    <cellStyle name="Moneda 3 2 2 5" xfId="465"/>
    <cellStyle name="Moneda 3 2 3" xfId="466"/>
    <cellStyle name="Moneda 3 2 3 2" xfId="467"/>
    <cellStyle name="Moneda 3 2 3 2 2" xfId="468"/>
    <cellStyle name="Moneda 3 2 3 3" xfId="469"/>
    <cellStyle name="Moneda 3 2 3 3 2" xfId="470"/>
    <cellStyle name="Moneda 3 2 3 4" xfId="471"/>
    <cellStyle name="Moneda 3 2 3 4 2" xfId="472"/>
    <cellStyle name="Moneda 3 2 3 5" xfId="473"/>
    <cellStyle name="Moneda 3 2 4" xfId="474"/>
    <cellStyle name="Moneda 3 2 4 2" xfId="475"/>
    <cellStyle name="Moneda 3 2 5" xfId="476"/>
    <cellStyle name="Moneda 3 2 5 2" xfId="477"/>
    <cellStyle name="Moneda 3 2 6" xfId="478"/>
    <cellStyle name="Moneda 3 2 6 2" xfId="479"/>
    <cellStyle name="Moneda 3 2 7" xfId="480"/>
    <cellStyle name="Moneda 3 3" xfId="481"/>
    <cellStyle name="Moneda 3 3 2" xfId="482"/>
    <cellStyle name="Moneda 3 3 2 2" xfId="483"/>
    <cellStyle name="Moneda 3 3 2 2 2" xfId="484"/>
    <cellStyle name="Moneda 3 3 2 3" xfId="485"/>
    <cellStyle name="Moneda 3 3 2 3 2" xfId="486"/>
    <cellStyle name="Moneda 3 3 2 4" xfId="487"/>
    <cellStyle name="Moneda 3 3 2 4 2" xfId="488"/>
    <cellStyle name="Moneda 3 3 2 5" xfId="489"/>
    <cellStyle name="Moneda 3 3 3" xfId="490"/>
    <cellStyle name="Moneda 3 3 3 2" xfId="491"/>
    <cellStyle name="Moneda 3 3 3 2 2" xfId="492"/>
    <cellStyle name="Moneda 3 3 3 3" xfId="493"/>
    <cellStyle name="Moneda 3 3 3 3 2" xfId="494"/>
    <cellStyle name="Moneda 3 3 3 4" xfId="495"/>
    <cellStyle name="Moneda 3 3 3 4 2" xfId="496"/>
    <cellStyle name="Moneda 3 3 3 5" xfId="497"/>
    <cellStyle name="Moneda 3 3 4" xfId="498"/>
    <cellStyle name="Moneda 3 3 4 2" xfId="499"/>
    <cellStyle name="Moneda 3 3 5" xfId="500"/>
    <cellStyle name="Moneda 3 3 5 2" xfId="501"/>
    <cellStyle name="Moneda 3 3 6" xfId="502"/>
    <cellStyle name="Moneda 3 3 6 2" xfId="503"/>
    <cellStyle name="Moneda 3 3 7" xfId="504"/>
    <cellStyle name="Moneda 3 4" xfId="505"/>
    <cellStyle name="Moneda 3 4 2" xfId="506"/>
    <cellStyle name="Moneda 3 4 2 2" xfId="507"/>
    <cellStyle name="Moneda 3 4 3" xfId="508"/>
    <cellStyle name="Moneda 3 4 3 2" xfId="509"/>
    <cellStyle name="Moneda 3 4 4" xfId="510"/>
    <cellStyle name="Moneda 3 4 4 2" xfId="511"/>
    <cellStyle name="Moneda 3 4 5" xfId="512"/>
    <cellStyle name="Moneda 3 5" xfId="513"/>
    <cellStyle name="Moneda 3 5 2" xfId="514"/>
    <cellStyle name="Moneda 3 5 2 2" xfId="515"/>
    <cellStyle name="Moneda 3 5 3" xfId="516"/>
    <cellStyle name="Moneda 3 5 3 2" xfId="517"/>
    <cellStyle name="Moneda 3 5 4" xfId="518"/>
    <cellStyle name="Moneda 3 5 4 2" xfId="519"/>
    <cellStyle name="Moneda 3 5 5" xfId="520"/>
    <cellStyle name="Moneda 3 6" xfId="521"/>
    <cellStyle name="Moneda 3 6 2" xfId="522"/>
    <cellStyle name="Moneda 3 7" xfId="523"/>
    <cellStyle name="Moneda 3 7 2" xfId="524"/>
    <cellStyle name="Moneda 3 8" xfId="525"/>
    <cellStyle name="Moneda 3 8 2" xfId="526"/>
    <cellStyle name="Moneda 3 9" xfId="527"/>
    <cellStyle name="Moneda 4" xfId="528"/>
    <cellStyle name="Moneda 5" xfId="529"/>
    <cellStyle name="Moneda 5 2" xfId="530"/>
    <cellStyle name="Moneda 6" xfId="531"/>
    <cellStyle name="Moneda 7" xfId="532"/>
    <cellStyle name="Moneda 8" xfId="533"/>
    <cellStyle name="Moneda 9" xfId="534"/>
    <cellStyle name="Neutral" xfId="535"/>
    <cellStyle name="Normal 2" xfId="536"/>
    <cellStyle name="Normal 2 2" xfId="537"/>
    <cellStyle name="Normal 2 3" xfId="538"/>
    <cellStyle name="Normal 2 4" xfId="539"/>
    <cellStyle name="Normal 3" xfId="540"/>
    <cellStyle name="Normal 3 2" xfId="541"/>
    <cellStyle name="Normal 4" xfId="542"/>
    <cellStyle name="Normal 4 2" xfId="543"/>
    <cellStyle name="Normal 5" xfId="544"/>
    <cellStyle name="Normal 6" xfId="545"/>
    <cellStyle name="Notas" xfId="546"/>
    <cellStyle name="Percent" xfId="547"/>
    <cellStyle name="Porcentaje 2" xfId="548"/>
    <cellStyle name="Porcentaje 2 2" xfId="549"/>
    <cellStyle name="Porcentaje 2 3" xfId="550"/>
    <cellStyle name="Porcentaje 2 4" xfId="551"/>
    <cellStyle name="Porcentaje 2 5" xfId="552"/>
    <cellStyle name="Porcentaje 3" xfId="553"/>
    <cellStyle name="Porcentaje 3 2" xfId="554"/>
    <cellStyle name="Porcentaje 4" xfId="555"/>
    <cellStyle name="Salida" xfId="556"/>
    <cellStyle name="Texto de advertencia" xfId="557"/>
    <cellStyle name="Texto explicativo" xfId="558"/>
    <cellStyle name="Título" xfId="559"/>
    <cellStyle name="Título 2" xfId="560"/>
    <cellStyle name="Título 3" xfId="561"/>
    <cellStyle name="Total" xfId="5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mabe-my.sharepoint.com/Users/FEDEPAPA/AppData/Local/Microsoft/Windows/INetCache/Content.Outlook/AQ8P2DKE/ACUERDOS%2017%20AL%20JUNTA%2014%20DE%20DICIEMBRE%20DE%202016/Cierre%20definitivo%20Tercer%20Trimestr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ACUERDOS%2017%20AL%20JUNTA%2014%20DE%20DICIEMBRE%20DE%202016\Cierre%20definitivo%20Tercer%20Trimestr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ONTROL%20PRESUPUESTAL\Desktop\COORDINACI&#211;N%20PRESUPUESTO%20Y%20GESTI&#211;N%20CALIDAD\CONTROL%20PRESUPUESTAL\Acuerdos%20Presupuestales\Acuerdos%202019\ACUERDOS%20DEL%2020%20AL%2025%20JUNTA%20ORDINARIA%20DEL%2017%20DICIEMBRE%202019\AC%2020%20AL%20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IERRE%20Tercer%20TRIM%2020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IERRE%20Cuarto%20Trimestre%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2">
        <row r="58">
          <cell r="M58">
            <v>42370</v>
          </cell>
        </row>
        <row r="59">
          <cell r="M59">
            <v>42400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2">
        <row r="58">
          <cell r="M58">
            <v>42370</v>
          </cell>
        </row>
        <row r="59">
          <cell r="M59">
            <v>42400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UERDO 20 CIERRE DEF 3RO"/>
      <sheetName val="ACUERDO 21 ADIC AÑO"/>
      <sheetName val="ACUERDO 22 SOLICITUD ADIC 4TO"/>
      <sheetName val="ACUERDO 23 CIERRE PRY 4TO"/>
      <sheetName val="ACUERDO 24 SOLICITUD 2020"/>
      <sheetName val="ACUERDO 24 SOLICITUD 2020 CONS"/>
      <sheetName val="ACUERDO 25 SOLICITUD 1ER 2020"/>
      <sheetName val="ASOCIATIVIDAD"/>
      <sheetName val="Hoja1"/>
      <sheetName val="FLUJO DE CAJA 2018"/>
      <sheetName val="FLUJO DE CAJA 2018 PROYECTADO"/>
      <sheetName val="FLUJO DE CAJA "/>
    </sheetNames>
    <sheetDataSet>
      <sheetData sheetId="4">
        <row r="73">
          <cell r="B73" t="str">
            <v>Seguros, impuestos y gastos legales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UESTOS GASTOS"/>
      <sheetName val="CIERRE DIF 1ER TRIM"/>
      <sheetName val="CIERRE PROY 2DO TRIM"/>
      <sheetName val="NÓMINA"/>
      <sheetName val="NOMINA"/>
      <sheetName val="CIERRE DEF 3ER TRIM"/>
      <sheetName val="FUNCIONAMIENTO"/>
      <sheetName val="FUN - RECAUDO"/>
      <sheetName val="ITPA"/>
      <sheetName val="MEJORAMIENTO GENETICO"/>
      <sheetName val="SEMILLA CERTIFICADA"/>
      <sheetName val="MECANIZACION"/>
      <sheetName val="CAMPAÑA DE CONSUMO"/>
      <sheetName val="SISTEMAS DE INFORMACION"/>
      <sheetName val="POSTCOSECHA"/>
      <sheetName val="DIVULGACIÓN"/>
      <sheetName val="ASOCIATIVIDAD"/>
      <sheetName val="UNIDAD TECNICA POP"/>
    </sheetNames>
    <sheetDataSet>
      <sheetData sheetId="6">
        <row r="63">
          <cell r="K63">
            <v>50810577</v>
          </cell>
        </row>
        <row r="68">
          <cell r="K68">
            <v>2119900</v>
          </cell>
        </row>
        <row r="76">
          <cell r="K76">
            <v>4239800</v>
          </cell>
        </row>
        <row r="81">
          <cell r="K81">
            <v>27489000</v>
          </cell>
        </row>
        <row r="95">
          <cell r="K95">
            <v>4239800</v>
          </cell>
        </row>
        <row r="100">
          <cell r="K100">
            <v>628620</v>
          </cell>
        </row>
        <row r="105">
          <cell r="K105">
            <v>4318977</v>
          </cell>
        </row>
        <row r="110">
          <cell r="K110">
            <v>6097941</v>
          </cell>
        </row>
        <row r="115">
          <cell r="K115">
            <v>388900</v>
          </cell>
        </row>
        <row r="120">
          <cell r="K120">
            <v>2033100</v>
          </cell>
        </row>
        <row r="125">
          <cell r="K125">
            <v>1524700</v>
          </cell>
        </row>
        <row r="130">
          <cell r="K130">
            <v>1017100</v>
          </cell>
        </row>
        <row r="136">
          <cell r="K136">
            <v>934962</v>
          </cell>
        </row>
        <row r="145">
          <cell r="K145">
            <v>120000</v>
          </cell>
        </row>
        <row r="154">
          <cell r="K154">
            <v>33936</v>
          </cell>
        </row>
        <row r="157">
          <cell r="K157">
            <v>161873</v>
          </cell>
        </row>
        <row r="166">
          <cell r="K166">
            <v>2027595</v>
          </cell>
        </row>
        <row r="171">
          <cell r="K171">
            <v>493700</v>
          </cell>
        </row>
        <row r="178">
          <cell r="K178">
            <v>8051986</v>
          </cell>
        </row>
        <row r="227">
          <cell r="K227">
            <v>263940</v>
          </cell>
        </row>
        <row r="232">
          <cell r="K232">
            <v>7072131</v>
          </cell>
        </row>
        <row r="262">
          <cell r="K262">
            <v>244106665</v>
          </cell>
        </row>
      </sheetData>
      <sheetData sheetId="7">
        <row r="61">
          <cell r="K61">
            <v>129151144</v>
          </cell>
        </row>
        <row r="68">
          <cell r="K68">
            <v>7104033</v>
          </cell>
        </row>
        <row r="73">
          <cell r="K73">
            <v>843636</v>
          </cell>
        </row>
        <row r="78">
          <cell r="K78">
            <v>13242104</v>
          </cell>
        </row>
        <row r="83">
          <cell r="K83">
            <v>1500000</v>
          </cell>
        </row>
        <row r="88">
          <cell r="K88">
            <v>13164769</v>
          </cell>
        </row>
        <row r="93">
          <cell r="K93">
            <v>1900010</v>
          </cell>
        </row>
        <row r="98">
          <cell r="K98">
            <v>13423830</v>
          </cell>
        </row>
        <row r="106">
          <cell r="K106">
            <v>18953594</v>
          </cell>
        </row>
        <row r="114">
          <cell r="K114">
            <v>4417400</v>
          </cell>
        </row>
        <row r="119">
          <cell r="K119">
            <v>6282700</v>
          </cell>
        </row>
        <row r="127">
          <cell r="K127">
            <v>4713900</v>
          </cell>
        </row>
        <row r="135">
          <cell r="K135">
            <v>3142400</v>
          </cell>
        </row>
        <row r="144">
          <cell r="K144">
            <v>16295862</v>
          </cell>
        </row>
        <row r="154">
          <cell r="K154">
            <v>1109721</v>
          </cell>
        </row>
        <row r="161">
          <cell r="K161">
            <v>2449761</v>
          </cell>
        </row>
        <row r="170">
          <cell r="K170">
            <v>4303448</v>
          </cell>
        </row>
        <row r="182">
          <cell r="K182">
            <v>8627490</v>
          </cell>
        </row>
        <row r="187">
          <cell r="K187">
            <v>629630</v>
          </cell>
        </row>
        <row r="192">
          <cell r="K192">
            <v>44750184</v>
          </cell>
        </row>
        <row r="270">
          <cell r="K270">
            <v>22712461</v>
          </cell>
        </row>
        <row r="314">
          <cell r="K314">
            <v>14375080</v>
          </cell>
        </row>
        <row r="338">
          <cell r="K338">
            <v>140992</v>
          </cell>
        </row>
        <row r="348">
          <cell r="K348">
            <v>471600</v>
          </cell>
        </row>
      </sheetData>
      <sheetData sheetId="8">
        <row r="71">
          <cell r="K71">
            <v>251457067</v>
          </cell>
        </row>
        <row r="76">
          <cell r="K76">
            <v>10442900</v>
          </cell>
        </row>
        <row r="81">
          <cell r="K81">
            <v>778020</v>
          </cell>
        </row>
        <row r="86">
          <cell r="K86">
            <v>20950636</v>
          </cell>
        </row>
        <row r="91">
          <cell r="K91">
            <v>20950635</v>
          </cell>
        </row>
        <row r="96">
          <cell r="K96">
            <v>2844566</v>
          </cell>
        </row>
        <row r="101">
          <cell r="K101">
            <v>21289712</v>
          </cell>
        </row>
        <row r="106">
          <cell r="K106">
            <v>30058676</v>
          </cell>
        </row>
        <row r="111">
          <cell r="K111">
            <v>9558200</v>
          </cell>
        </row>
        <row r="116">
          <cell r="K116">
            <v>10064900</v>
          </cell>
        </row>
        <row r="122">
          <cell r="K122">
            <v>7547300</v>
          </cell>
        </row>
        <row r="128">
          <cell r="K128">
            <v>5035500</v>
          </cell>
        </row>
        <row r="135">
          <cell r="K135">
            <v>31927832</v>
          </cell>
        </row>
        <row r="209">
          <cell r="K209">
            <v>2518792</v>
          </cell>
        </row>
        <row r="217">
          <cell r="K217">
            <v>4208676</v>
          </cell>
        </row>
        <row r="226">
          <cell r="K226">
            <v>6405980</v>
          </cell>
        </row>
        <row r="233">
          <cell r="K233">
            <v>64573814</v>
          </cell>
        </row>
        <row r="302">
          <cell r="K302">
            <v>960890</v>
          </cell>
        </row>
        <row r="311">
          <cell r="K311">
            <v>741745</v>
          </cell>
        </row>
        <row r="320">
          <cell r="K320">
            <v>15421210</v>
          </cell>
        </row>
        <row r="329">
          <cell r="K329">
            <v>403085</v>
          </cell>
        </row>
        <row r="335">
          <cell r="K335">
            <v>0</v>
          </cell>
        </row>
        <row r="341">
          <cell r="K341">
            <v>15000000</v>
          </cell>
        </row>
        <row r="355">
          <cell r="K355">
            <v>68029731</v>
          </cell>
        </row>
      </sheetData>
      <sheetData sheetId="9">
        <row r="54">
          <cell r="K54">
            <v>27144000</v>
          </cell>
        </row>
        <row r="59">
          <cell r="K59">
            <v>1131000</v>
          </cell>
        </row>
        <row r="64">
          <cell r="K64">
            <v>2262000</v>
          </cell>
        </row>
        <row r="69">
          <cell r="K69">
            <v>52336499</v>
          </cell>
        </row>
        <row r="103">
          <cell r="K103">
            <v>2262000</v>
          </cell>
        </row>
        <row r="108">
          <cell r="K108">
            <v>324722</v>
          </cell>
        </row>
        <row r="113">
          <cell r="K113">
            <v>2307240</v>
          </cell>
        </row>
        <row r="118">
          <cell r="K118">
            <v>3257640</v>
          </cell>
        </row>
        <row r="123">
          <cell r="K123">
            <v>1180800</v>
          </cell>
        </row>
        <row r="128">
          <cell r="K128">
            <v>1086300</v>
          </cell>
        </row>
        <row r="133">
          <cell r="K133">
            <v>814500</v>
          </cell>
        </row>
        <row r="138">
          <cell r="K138">
            <v>543600</v>
          </cell>
        </row>
        <row r="144">
          <cell r="K144">
            <v>8370000</v>
          </cell>
        </row>
        <row r="150">
          <cell r="K150">
            <v>10687977</v>
          </cell>
        </row>
        <row r="159">
          <cell r="K159">
            <v>4300000</v>
          </cell>
        </row>
        <row r="168">
          <cell r="K168">
            <v>289795</v>
          </cell>
        </row>
        <row r="177">
          <cell r="K177">
            <v>1503696</v>
          </cell>
        </row>
        <row r="185">
          <cell r="K185">
            <v>6787197</v>
          </cell>
        </row>
        <row r="191">
          <cell r="K191">
            <v>679014</v>
          </cell>
        </row>
        <row r="196">
          <cell r="K196">
            <v>10628620</v>
          </cell>
        </row>
        <row r="201">
          <cell r="K201">
            <v>10458000</v>
          </cell>
        </row>
      </sheetData>
      <sheetData sheetId="10">
        <row r="42">
          <cell r="K42">
            <v>28746666</v>
          </cell>
        </row>
        <row r="64">
          <cell r="K64">
            <v>8724991</v>
          </cell>
        </row>
        <row r="78">
          <cell r="K78">
            <v>0</v>
          </cell>
        </row>
        <row r="85">
          <cell r="K85">
            <v>15234185</v>
          </cell>
        </row>
        <row r="94">
          <cell r="K94">
            <v>0</v>
          </cell>
        </row>
        <row r="103">
          <cell r="K103">
            <v>0</v>
          </cell>
        </row>
        <row r="112">
          <cell r="K112">
            <v>0</v>
          </cell>
        </row>
        <row r="127">
          <cell r="K127">
            <v>557812500</v>
          </cell>
        </row>
      </sheetData>
      <sheetData sheetId="12">
        <row r="59">
          <cell r="K59">
            <v>26942933</v>
          </cell>
        </row>
        <row r="64">
          <cell r="K64">
            <v>1131001</v>
          </cell>
        </row>
        <row r="69">
          <cell r="K69">
            <v>2262000</v>
          </cell>
        </row>
        <row r="74">
          <cell r="K74">
            <v>2262000</v>
          </cell>
        </row>
        <row r="79">
          <cell r="K79">
            <v>312658</v>
          </cell>
        </row>
        <row r="84">
          <cell r="K84">
            <v>2307240</v>
          </cell>
        </row>
        <row r="89">
          <cell r="K89">
            <v>3257880</v>
          </cell>
        </row>
        <row r="94">
          <cell r="K94">
            <v>487300</v>
          </cell>
        </row>
        <row r="99">
          <cell r="K99">
            <v>1086000</v>
          </cell>
        </row>
        <row r="104">
          <cell r="K104">
            <v>814500</v>
          </cell>
        </row>
        <row r="109">
          <cell r="K109">
            <v>543300</v>
          </cell>
        </row>
        <row r="115">
          <cell r="K115">
            <v>4593799</v>
          </cell>
        </row>
        <row r="123">
          <cell r="K123">
            <v>47500</v>
          </cell>
        </row>
        <row r="128">
          <cell r="K128">
            <v>3249480</v>
          </cell>
        </row>
        <row r="153">
          <cell r="K153">
            <v>161874</v>
          </cell>
        </row>
        <row r="162">
          <cell r="K162">
            <v>433674</v>
          </cell>
        </row>
        <row r="171">
          <cell r="K171">
            <v>35843</v>
          </cell>
        </row>
        <row r="178">
          <cell r="K178">
            <v>132800</v>
          </cell>
        </row>
        <row r="186">
          <cell r="K186">
            <v>669795275</v>
          </cell>
        </row>
        <row r="207">
          <cell r="K207">
            <v>60606061</v>
          </cell>
        </row>
        <row r="214">
          <cell r="K214">
            <v>145774070</v>
          </cell>
        </row>
        <row r="236">
          <cell r="K236">
            <v>24000000</v>
          </cell>
        </row>
        <row r="242">
          <cell r="K242">
            <v>19500000</v>
          </cell>
        </row>
      </sheetData>
      <sheetData sheetId="13">
        <row r="50">
          <cell r="K50">
            <v>60570044</v>
          </cell>
        </row>
        <row r="55">
          <cell r="K55">
            <v>2525900</v>
          </cell>
        </row>
        <row r="60">
          <cell r="K60">
            <v>5051800</v>
          </cell>
        </row>
        <row r="65">
          <cell r="K65">
            <v>5051800</v>
          </cell>
        </row>
        <row r="70">
          <cell r="K70">
            <v>726950</v>
          </cell>
        </row>
        <row r="75">
          <cell r="K75">
            <v>5148498</v>
          </cell>
        </row>
        <row r="80">
          <cell r="K80">
            <v>7268862</v>
          </cell>
        </row>
        <row r="85">
          <cell r="K85">
            <v>1473700</v>
          </cell>
        </row>
        <row r="90">
          <cell r="K90">
            <v>2423200</v>
          </cell>
        </row>
        <row r="95">
          <cell r="K95">
            <v>1817400</v>
          </cell>
        </row>
        <row r="100">
          <cell r="K100">
            <v>1211900</v>
          </cell>
        </row>
        <row r="106">
          <cell r="K106">
            <v>891954</v>
          </cell>
        </row>
        <row r="115">
          <cell r="K115">
            <v>161873</v>
          </cell>
        </row>
        <row r="124">
          <cell r="K124">
            <v>284898</v>
          </cell>
        </row>
        <row r="133">
          <cell r="K133">
            <v>33936</v>
          </cell>
        </row>
        <row r="140">
          <cell r="K140">
            <v>5351068</v>
          </cell>
        </row>
        <row r="169">
          <cell r="K169">
            <v>142500</v>
          </cell>
        </row>
        <row r="174">
          <cell r="K174">
            <v>53400</v>
          </cell>
        </row>
        <row r="180">
          <cell r="K180">
            <v>22573333</v>
          </cell>
        </row>
        <row r="187">
          <cell r="K187">
            <v>22624000</v>
          </cell>
        </row>
        <row r="194">
          <cell r="K194">
            <v>22500000</v>
          </cell>
        </row>
        <row r="201">
          <cell r="K201">
            <v>56671338</v>
          </cell>
        </row>
      </sheetData>
      <sheetData sheetId="15">
        <row r="50">
          <cell r="K50">
            <v>17748000</v>
          </cell>
        </row>
        <row r="55">
          <cell r="K55">
            <v>812000</v>
          </cell>
        </row>
        <row r="60">
          <cell r="K60">
            <v>1624000</v>
          </cell>
        </row>
        <row r="65">
          <cell r="K65">
            <v>2200000</v>
          </cell>
        </row>
        <row r="70">
          <cell r="K70">
            <v>1624000</v>
          </cell>
        </row>
        <row r="75">
          <cell r="K75">
            <v>197468</v>
          </cell>
        </row>
        <row r="80">
          <cell r="K80">
            <v>1656480</v>
          </cell>
        </row>
        <row r="85">
          <cell r="K85">
            <v>2338680</v>
          </cell>
        </row>
        <row r="90">
          <cell r="K90">
            <v>306500</v>
          </cell>
        </row>
        <row r="95">
          <cell r="K95">
            <v>779700</v>
          </cell>
        </row>
        <row r="100">
          <cell r="K100">
            <v>584700</v>
          </cell>
        </row>
        <row r="105">
          <cell r="K105">
            <v>390000</v>
          </cell>
        </row>
        <row r="111">
          <cell r="K111">
            <v>3517969</v>
          </cell>
        </row>
        <row r="120">
          <cell r="K120">
            <v>47500</v>
          </cell>
        </row>
        <row r="129">
          <cell r="K129">
            <v>6139699</v>
          </cell>
        </row>
        <row r="152">
          <cell r="K152">
            <v>194346698</v>
          </cell>
        </row>
        <row r="245">
          <cell r="K245">
            <v>750000</v>
          </cell>
        </row>
      </sheetData>
      <sheetData sheetId="16">
        <row r="53">
          <cell r="K53">
            <v>53978668</v>
          </cell>
        </row>
        <row r="58">
          <cell r="K58">
            <v>2249111</v>
          </cell>
        </row>
        <row r="63">
          <cell r="K63">
            <v>4498223</v>
          </cell>
        </row>
        <row r="68">
          <cell r="K68">
            <v>34600000</v>
          </cell>
        </row>
        <row r="74">
          <cell r="K74">
            <v>4498222</v>
          </cell>
        </row>
        <row r="79">
          <cell r="K79">
            <v>467957</v>
          </cell>
        </row>
        <row r="84">
          <cell r="K84">
            <v>4588254</v>
          </cell>
        </row>
        <row r="89">
          <cell r="K89">
            <v>6477877</v>
          </cell>
        </row>
        <row r="94">
          <cell r="K94">
            <v>1315600</v>
          </cell>
        </row>
        <row r="99">
          <cell r="K99">
            <v>2210600</v>
          </cell>
        </row>
        <row r="104">
          <cell r="K104">
            <v>1657800</v>
          </cell>
        </row>
        <row r="109">
          <cell r="K109">
            <v>1105600</v>
          </cell>
        </row>
        <row r="115">
          <cell r="K115">
            <v>934962</v>
          </cell>
        </row>
        <row r="124">
          <cell r="K124">
            <v>917274</v>
          </cell>
        </row>
        <row r="133">
          <cell r="K133">
            <v>260226</v>
          </cell>
        </row>
        <row r="142">
          <cell r="K142">
            <v>914504</v>
          </cell>
        </row>
        <row r="149">
          <cell r="K149">
            <v>458000</v>
          </cell>
        </row>
        <row r="156">
          <cell r="K156">
            <v>51138442</v>
          </cell>
        </row>
        <row r="245">
          <cell r="K245">
            <v>29881198</v>
          </cell>
        </row>
        <row r="386">
          <cell r="K386">
            <v>685600</v>
          </cell>
        </row>
        <row r="393">
          <cell r="K393">
            <v>0</v>
          </cell>
        </row>
        <row r="399">
          <cell r="K399">
            <v>59400000</v>
          </cell>
        </row>
      </sheetData>
      <sheetData sheetId="17">
        <row r="37">
          <cell r="K37">
            <v>84923190</v>
          </cell>
        </row>
        <row r="53">
          <cell r="K53">
            <v>1985569</v>
          </cell>
        </row>
        <row r="62">
          <cell r="K62">
            <v>747109</v>
          </cell>
        </row>
        <row r="71">
          <cell r="K71">
            <v>11145215</v>
          </cell>
        </row>
        <row r="125">
          <cell r="K125">
            <v>2115950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PUESTOS GASTOS"/>
      <sheetName val="CIERRE DIF 1ER TRIM"/>
      <sheetName val="CIERRE PROY 2DO TRIM"/>
      <sheetName val="SOLICITUD 3ER TRIM"/>
      <sheetName val="ACUERDO SOLICITUD 4TO TRIM"/>
      <sheetName val="FUNCIONAMIENTO"/>
      <sheetName val="FUN - RECAUDO"/>
      <sheetName val="ITPA"/>
      <sheetName val="GENETICO"/>
      <sheetName val="SEMILLA CERT"/>
      <sheetName val="MECANIZACION"/>
      <sheetName val="CAMPAÑA DE CONSUMO"/>
      <sheetName val="POSTCOSECHA"/>
      <sheetName val="SISTEMAS DE INFORMACION"/>
      <sheetName val="DIVULGACIÓN"/>
      <sheetName val="ASOCIATIVIDAD"/>
      <sheetName val="UGT POP"/>
    </sheetNames>
    <sheetDataSet>
      <sheetData sheetId="5">
        <row r="76">
          <cell r="K76">
            <v>50743554</v>
          </cell>
        </row>
        <row r="82">
          <cell r="K82">
            <v>2119900</v>
          </cell>
        </row>
        <row r="87">
          <cell r="K87">
            <v>4239800</v>
          </cell>
        </row>
        <row r="92">
          <cell r="K92">
            <v>28689000</v>
          </cell>
        </row>
        <row r="103">
          <cell r="K103">
            <v>4239800</v>
          </cell>
        </row>
        <row r="108">
          <cell r="K108">
            <v>883007</v>
          </cell>
        </row>
        <row r="113">
          <cell r="K113">
            <v>4313358</v>
          </cell>
        </row>
        <row r="120">
          <cell r="K120">
            <v>6089922</v>
          </cell>
        </row>
        <row r="127">
          <cell r="K127">
            <v>387800</v>
          </cell>
        </row>
        <row r="133">
          <cell r="K133">
            <v>2366800</v>
          </cell>
        </row>
        <row r="140">
          <cell r="K140">
            <v>1775000</v>
          </cell>
        </row>
        <row r="147">
          <cell r="K147">
            <v>1183800</v>
          </cell>
        </row>
        <row r="155">
          <cell r="K155">
            <v>366653</v>
          </cell>
        </row>
        <row r="164">
          <cell r="K164">
            <v>3960000</v>
          </cell>
        </row>
        <row r="172">
          <cell r="K172">
            <v>161873</v>
          </cell>
        </row>
        <row r="180">
          <cell r="K180">
            <v>2027593</v>
          </cell>
        </row>
        <row r="185">
          <cell r="K185">
            <v>153900</v>
          </cell>
        </row>
        <row r="190">
          <cell r="K190">
            <v>14405134</v>
          </cell>
        </row>
        <row r="239">
          <cell r="K239">
            <v>437644</v>
          </cell>
        </row>
        <row r="248">
          <cell r="K248">
            <v>11693871</v>
          </cell>
        </row>
        <row r="279">
          <cell r="K279">
            <v>27126122</v>
          </cell>
        </row>
        <row r="284">
          <cell r="K284">
            <v>288282206</v>
          </cell>
        </row>
      </sheetData>
      <sheetData sheetId="6">
        <row r="72">
          <cell r="K72">
            <v>144738914</v>
          </cell>
        </row>
        <row r="78">
          <cell r="K78">
            <v>8626631</v>
          </cell>
        </row>
        <row r="84">
          <cell r="K84">
            <v>782706</v>
          </cell>
        </row>
        <row r="90">
          <cell r="K90">
            <v>13238197</v>
          </cell>
        </row>
        <row r="96">
          <cell r="K96">
            <v>5700000</v>
          </cell>
        </row>
        <row r="101">
          <cell r="K101">
            <v>13224460</v>
          </cell>
        </row>
        <row r="108">
          <cell r="K108">
            <v>2696888</v>
          </cell>
        </row>
        <row r="115">
          <cell r="K115">
            <v>13428680</v>
          </cell>
        </row>
        <row r="125">
          <cell r="K125">
            <v>18960644</v>
          </cell>
        </row>
        <row r="135">
          <cell r="K135">
            <v>4832900</v>
          </cell>
        </row>
        <row r="141">
          <cell r="K141">
            <v>7022600</v>
          </cell>
        </row>
        <row r="150">
          <cell r="K150">
            <v>5268700</v>
          </cell>
        </row>
        <row r="159">
          <cell r="K159">
            <v>3513100</v>
          </cell>
        </row>
        <row r="169">
          <cell r="K169">
            <v>15409947</v>
          </cell>
        </row>
        <row r="181">
          <cell r="K181">
            <v>1586925</v>
          </cell>
        </row>
        <row r="188">
          <cell r="K188">
            <v>1680808</v>
          </cell>
        </row>
        <row r="199">
          <cell r="K199">
            <v>4303450</v>
          </cell>
        </row>
        <row r="211">
          <cell r="K211">
            <v>8627490</v>
          </cell>
        </row>
        <row r="216">
          <cell r="K216">
            <v>4785500</v>
          </cell>
        </row>
        <row r="222">
          <cell r="K222">
            <v>60797917</v>
          </cell>
        </row>
        <row r="319">
          <cell r="K319">
            <v>26168297</v>
          </cell>
        </row>
        <row r="345">
          <cell r="K345">
            <v>531395</v>
          </cell>
        </row>
        <row r="355">
          <cell r="K355">
            <v>1461600</v>
          </cell>
        </row>
      </sheetData>
      <sheetData sheetId="7">
        <row r="82">
          <cell r="K82">
            <v>241816176</v>
          </cell>
        </row>
        <row r="89">
          <cell r="K89">
            <v>10230879</v>
          </cell>
        </row>
        <row r="96">
          <cell r="K96">
            <v>843636</v>
          </cell>
        </row>
        <row r="101">
          <cell r="K101">
            <v>20587480</v>
          </cell>
        </row>
        <row r="108">
          <cell r="K108">
            <v>20532060</v>
          </cell>
        </row>
        <row r="115">
          <cell r="K115">
            <v>3951793</v>
          </cell>
        </row>
        <row r="122">
          <cell r="K122">
            <v>20922039</v>
          </cell>
        </row>
        <row r="130">
          <cell r="K130">
            <v>28815563</v>
          </cell>
        </row>
        <row r="137">
          <cell r="K137">
            <v>9135400</v>
          </cell>
        </row>
        <row r="144">
          <cell r="K144">
            <v>11323700</v>
          </cell>
        </row>
        <row r="152">
          <cell r="K152">
            <v>8491600</v>
          </cell>
        </row>
        <row r="160">
          <cell r="K160">
            <v>5664200</v>
          </cell>
        </row>
        <row r="169">
          <cell r="K169">
            <v>3149108</v>
          </cell>
        </row>
        <row r="179">
          <cell r="K179">
            <v>0</v>
          </cell>
        </row>
        <row r="188">
          <cell r="K188">
            <v>1979920</v>
          </cell>
        </row>
        <row r="197">
          <cell r="K197">
            <v>4208675</v>
          </cell>
        </row>
        <row r="206">
          <cell r="K206">
            <v>240000</v>
          </cell>
        </row>
        <row r="213">
          <cell r="K213">
            <v>71075789</v>
          </cell>
        </row>
        <row r="296">
          <cell r="K296">
            <v>1815300</v>
          </cell>
        </row>
        <row r="303">
          <cell r="K303">
            <v>2762234</v>
          </cell>
        </row>
        <row r="312">
          <cell r="K312">
            <v>916966</v>
          </cell>
        </row>
        <row r="317">
          <cell r="K317">
            <v>25150</v>
          </cell>
        </row>
        <row r="326">
          <cell r="K326">
            <v>0</v>
          </cell>
        </row>
        <row r="333">
          <cell r="K333">
            <v>15000000</v>
          </cell>
        </row>
        <row r="340">
          <cell r="K340">
            <v>2614701</v>
          </cell>
        </row>
      </sheetData>
      <sheetData sheetId="8">
        <row r="62">
          <cell r="K62">
            <v>24731199</v>
          </cell>
        </row>
        <row r="68">
          <cell r="K68">
            <v>1030467</v>
          </cell>
        </row>
        <row r="74">
          <cell r="K74">
            <v>2060934</v>
          </cell>
        </row>
        <row r="80">
          <cell r="K80">
            <v>79919832</v>
          </cell>
        </row>
        <row r="122">
          <cell r="K122">
            <v>2060934</v>
          </cell>
        </row>
        <row r="128">
          <cell r="K128">
            <v>414019</v>
          </cell>
        </row>
        <row r="134">
          <cell r="K134">
            <v>2102253</v>
          </cell>
        </row>
        <row r="141">
          <cell r="K141">
            <v>2968053</v>
          </cell>
        </row>
        <row r="148">
          <cell r="K148">
            <v>1076100</v>
          </cell>
        </row>
        <row r="154">
          <cell r="K154">
            <v>1161800</v>
          </cell>
        </row>
        <row r="161">
          <cell r="K161">
            <v>871300</v>
          </cell>
        </row>
        <row r="168">
          <cell r="K168">
            <v>581200</v>
          </cell>
        </row>
        <row r="176">
          <cell r="K176">
            <v>8370000</v>
          </cell>
        </row>
        <row r="182">
          <cell r="K182">
            <v>219991</v>
          </cell>
        </row>
        <row r="191">
          <cell r="K191">
            <v>14730000</v>
          </cell>
        </row>
        <row r="200">
          <cell r="K200">
            <v>411234</v>
          </cell>
        </row>
        <row r="209">
          <cell r="K209">
            <v>1503696</v>
          </cell>
        </row>
        <row r="218">
          <cell r="K218">
            <v>6787197</v>
          </cell>
        </row>
        <row r="224">
          <cell r="K224">
            <v>11840456</v>
          </cell>
        </row>
        <row r="241">
          <cell r="K241">
            <v>8694000</v>
          </cell>
        </row>
      </sheetData>
      <sheetData sheetId="9">
        <row r="42">
          <cell r="K42">
            <v>40080001</v>
          </cell>
        </row>
        <row r="65">
          <cell r="K65">
            <v>210352000</v>
          </cell>
        </row>
        <row r="79">
          <cell r="K79">
            <v>8999998</v>
          </cell>
        </row>
        <row r="84">
          <cell r="K84">
            <v>4400000</v>
          </cell>
        </row>
        <row r="90">
          <cell r="K90">
            <v>17731192</v>
          </cell>
        </row>
        <row r="106">
          <cell r="K106">
            <v>16058000</v>
          </cell>
        </row>
        <row r="115">
          <cell r="K115">
            <v>195591</v>
          </cell>
        </row>
        <row r="122">
          <cell r="K122">
            <v>0</v>
          </cell>
        </row>
        <row r="129">
          <cell r="K129">
            <v>1115625000</v>
          </cell>
        </row>
      </sheetData>
      <sheetData sheetId="11">
        <row r="69">
          <cell r="K69">
            <v>26004622</v>
          </cell>
        </row>
        <row r="75">
          <cell r="K75">
            <v>1323689</v>
          </cell>
        </row>
        <row r="80">
          <cell r="K80">
            <v>2262000</v>
          </cell>
        </row>
        <row r="85">
          <cell r="K85">
            <v>2245245</v>
          </cell>
        </row>
        <row r="90">
          <cell r="K90">
            <v>446452</v>
          </cell>
        </row>
        <row r="95">
          <cell r="K95">
            <v>2304523</v>
          </cell>
        </row>
        <row r="102">
          <cell r="K102">
            <v>3253863</v>
          </cell>
        </row>
        <row r="109">
          <cell r="K109">
            <v>482100</v>
          </cell>
        </row>
        <row r="115">
          <cell r="K115">
            <v>1200000</v>
          </cell>
        </row>
        <row r="122">
          <cell r="K122">
            <v>900200</v>
          </cell>
        </row>
        <row r="129">
          <cell r="K129">
            <v>600200</v>
          </cell>
        </row>
        <row r="137">
          <cell r="K137">
            <v>1007321</v>
          </cell>
        </row>
        <row r="146">
          <cell r="K146">
            <v>1080989</v>
          </cell>
        </row>
        <row r="167">
          <cell r="K167">
            <v>161874</v>
          </cell>
        </row>
        <row r="176">
          <cell r="K176">
            <v>256168</v>
          </cell>
        </row>
        <row r="185">
          <cell r="K185">
            <v>1368500</v>
          </cell>
        </row>
        <row r="192">
          <cell r="K192">
            <v>97100</v>
          </cell>
        </row>
      </sheetData>
      <sheetData sheetId="13">
        <row r="60">
          <cell r="K60">
            <v>58198489</v>
          </cell>
        </row>
        <row r="66">
          <cell r="K66">
            <v>3299233</v>
          </cell>
        </row>
        <row r="72">
          <cell r="K72">
            <v>5051800</v>
          </cell>
        </row>
        <row r="78">
          <cell r="K78">
            <v>5051800</v>
          </cell>
        </row>
        <row r="84">
          <cell r="K84">
            <v>1030056</v>
          </cell>
        </row>
        <row r="90">
          <cell r="K90">
            <v>5139723</v>
          </cell>
        </row>
        <row r="97">
          <cell r="K97">
            <v>7256487</v>
          </cell>
        </row>
        <row r="104">
          <cell r="K104">
            <v>1413400</v>
          </cell>
        </row>
        <row r="110">
          <cell r="K110">
            <v>2745000</v>
          </cell>
        </row>
        <row r="117">
          <cell r="K117">
            <v>2058800</v>
          </cell>
        </row>
        <row r="124">
          <cell r="K124">
            <v>1372900</v>
          </cell>
        </row>
        <row r="132">
          <cell r="K132">
            <v>439982</v>
          </cell>
        </row>
        <row r="141">
          <cell r="K141">
            <v>161872</v>
          </cell>
        </row>
        <row r="150">
          <cell r="K150">
            <v>270016</v>
          </cell>
        </row>
        <row r="159">
          <cell r="K159">
            <v>5773008</v>
          </cell>
        </row>
        <row r="191">
          <cell r="K191">
            <v>588800</v>
          </cell>
        </row>
        <row r="198">
          <cell r="K198">
            <v>112798</v>
          </cell>
        </row>
        <row r="209">
          <cell r="K209">
            <v>22573334</v>
          </cell>
        </row>
        <row r="216">
          <cell r="K216">
            <v>22624000</v>
          </cell>
        </row>
        <row r="223">
          <cell r="K223">
            <v>22500000</v>
          </cell>
        </row>
        <row r="230">
          <cell r="K230">
            <v>56671338</v>
          </cell>
        </row>
      </sheetData>
      <sheetData sheetId="14">
        <row r="61">
          <cell r="K61">
            <v>18954400</v>
          </cell>
        </row>
        <row r="67">
          <cell r="K67">
            <v>789767</v>
          </cell>
        </row>
        <row r="73">
          <cell r="K73">
            <v>1624000</v>
          </cell>
        </row>
        <row r="79">
          <cell r="K79">
            <v>1579533</v>
          </cell>
        </row>
        <row r="85">
          <cell r="K85">
            <v>287144</v>
          </cell>
        </row>
        <row r="91">
          <cell r="K91">
            <v>1656624</v>
          </cell>
        </row>
        <row r="98">
          <cell r="K98">
            <v>2338824</v>
          </cell>
        </row>
        <row r="105">
          <cell r="K105">
            <v>340200</v>
          </cell>
        </row>
        <row r="111">
          <cell r="K111">
            <v>885700</v>
          </cell>
        </row>
        <row r="118">
          <cell r="K118">
            <v>664300</v>
          </cell>
        </row>
        <row r="125">
          <cell r="K125">
            <v>442900</v>
          </cell>
        </row>
        <row r="133">
          <cell r="K133">
            <v>1293321</v>
          </cell>
        </row>
        <row r="141">
          <cell r="K141">
            <v>0</v>
          </cell>
        </row>
        <row r="147">
          <cell r="K147">
            <v>7309317</v>
          </cell>
        </row>
        <row r="187">
          <cell r="K187">
            <v>78809582</v>
          </cell>
        </row>
        <row r="256">
          <cell r="K256">
            <v>0</v>
          </cell>
        </row>
      </sheetData>
      <sheetData sheetId="15">
        <row r="64">
          <cell r="K64">
            <v>63774222</v>
          </cell>
        </row>
        <row r="71">
          <cell r="K71">
            <v>2668000</v>
          </cell>
        </row>
        <row r="78">
          <cell r="K78">
            <v>5335999</v>
          </cell>
        </row>
        <row r="85">
          <cell r="K85">
            <v>51115000</v>
          </cell>
        </row>
        <row r="95">
          <cell r="K95">
            <v>5336000</v>
          </cell>
        </row>
        <row r="102">
          <cell r="K102">
            <v>738107</v>
          </cell>
        </row>
        <row r="109">
          <cell r="K109">
            <v>5429607</v>
          </cell>
        </row>
        <row r="116">
          <cell r="K116">
            <v>7666047</v>
          </cell>
        </row>
        <row r="123">
          <cell r="K123">
            <v>1549300</v>
          </cell>
        </row>
        <row r="129">
          <cell r="K129">
            <v>2855000</v>
          </cell>
        </row>
        <row r="136">
          <cell r="K136">
            <v>2141300</v>
          </cell>
        </row>
        <row r="143">
          <cell r="K143">
            <v>1427900</v>
          </cell>
        </row>
        <row r="151">
          <cell r="K151">
            <v>366652</v>
          </cell>
        </row>
        <row r="160">
          <cell r="K160">
            <v>773388</v>
          </cell>
        </row>
        <row r="169">
          <cell r="K169">
            <v>764642</v>
          </cell>
        </row>
        <row r="176">
          <cell r="K176">
            <v>800000</v>
          </cell>
        </row>
        <row r="183">
          <cell r="K183">
            <v>0</v>
          </cell>
        </row>
        <row r="188">
          <cell r="K188">
            <v>67883620</v>
          </cell>
        </row>
        <row r="283">
          <cell r="K283">
            <v>20433530</v>
          </cell>
        </row>
        <row r="365">
          <cell r="K365">
            <v>1783500</v>
          </cell>
        </row>
        <row r="370">
          <cell r="K370">
            <v>110200</v>
          </cell>
        </row>
        <row r="381">
          <cell r="K381">
            <v>39600000</v>
          </cell>
        </row>
      </sheetData>
      <sheetData sheetId="16">
        <row r="39">
          <cell r="K39">
            <v>84923190</v>
          </cell>
        </row>
        <row r="56">
          <cell r="K56">
            <v>293321</v>
          </cell>
        </row>
        <row r="65">
          <cell r="K65">
            <v>2754707</v>
          </cell>
        </row>
        <row r="74">
          <cell r="K74">
            <v>870231</v>
          </cell>
        </row>
        <row r="106">
          <cell r="K106">
            <v>5950000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K139"/>
  <sheetViews>
    <sheetView zoomScalePageLayoutView="0" workbookViewId="0" topLeftCell="A12">
      <selection activeCell="F119" sqref="F119:H133"/>
    </sheetView>
  </sheetViews>
  <sheetFormatPr defaultColWidth="9.140625" defaultRowHeight="15" outlineLevelCol="1"/>
  <cols>
    <col min="1" max="1" width="5.421875" style="4" customWidth="1"/>
    <col min="2" max="2" width="50.7109375" style="4" customWidth="1"/>
    <col min="3" max="3" width="18.00390625" style="160" hidden="1" customWidth="1" outlineLevel="1"/>
    <col min="4" max="4" width="14.8515625" style="3" hidden="1" customWidth="1" outlineLevel="1"/>
    <col min="5" max="5" width="12.28125" style="3" hidden="1" customWidth="1" outlineLevel="1"/>
    <col min="6" max="6" width="20.00390625" style="3" bestFit="1" customWidth="1" collapsed="1"/>
    <col min="7" max="7" width="20.00390625" style="185" bestFit="1" customWidth="1"/>
    <col min="8" max="8" width="18.28125" style="63" customWidth="1"/>
    <col min="9" max="9" width="18.00390625" style="132" bestFit="1" customWidth="1"/>
    <col min="10" max="10" width="19.8515625" style="129" customWidth="1"/>
    <col min="11" max="11" width="15.421875" style="130" bestFit="1" customWidth="1"/>
    <col min="12" max="12" width="16.28125" style="131" customWidth="1"/>
    <col min="13" max="13" width="16.421875" style="131" bestFit="1" customWidth="1"/>
    <col min="14" max="16" width="14.8515625" style="131" bestFit="1" customWidth="1"/>
    <col min="17" max="63" width="9.140625" style="131" customWidth="1"/>
    <col min="64" max="16384" width="9.140625" style="4" customWidth="1"/>
  </cols>
  <sheetData>
    <row r="1" ht="15">
      <c r="A1" s="190"/>
    </row>
    <row r="2" spans="1:8" ht="15">
      <c r="A2" s="190"/>
      <c r="B2" s="540" t="s">
        <v>11</v>
      </c>
      <c r="C2" s="541"/>
      <c r="D2" s="541"/>
      <c r="E2" s="541"/>
      <c r="F2" s="541"/>
      <c r="G2" s="541"/>
      <c r="H2" s="540"/>
    </row>
    <row r="3" spans="1:8" ht="15">
      <c r="A3" s="190"/>
      <c r="B3" s="540" t="s">
        <v>12</v>
      </c>
      <c r="C3" s="541"/>
      <c r="D3" s="541"/>
      <c r="E3" s="541"/>
      <c r="F3" s="541"/>
      <c r="G3" s="541"/>
      <c r="H3" s="540"/>
    </row>
    <row r="4" spans="1:8" ht="15">
      <c r="A4" s="190"/>
      <c r="B4" s="540" t="s">
        <v>236</v>
      </c>
      <c r="C4" s="541"/>
      <c r="D4" s="541"/>
      <c r="E4" s="541"/>
      <c r="F4" s="541"/>
      <c r="G4" s="541"/>
      <c r="H4" s="540"/>
    </row>
    <row r="5" spans="1:8" ht="15">
      <c r="A5" s="190"/>
      <c r="B5" s="540" t="s">
        <v>13</v>
      </c>
      <c r="C5" s="541"/>
      <c r="D5" s="541"/>
      <c r="E5" s="541"/>
      <c r="F5" s="541"/>
      <c r="G5" s="541"/>
      <c r="H5" s="540"/>
    </row>
    <row r="6" spans="1:8" ht="15">
      <c r="A6" s="190"/>
      <c r="B6" s="540" t="s">
        <v>237</v>
      </c>
      <c r="C6" s="541"/>
      <c r="D6" s="541"/>
      <c r="E6" s="541"/>
      <c r="F6" s="541"/>
      <c r="G6" s="541"/>
      <c r="H6" s="540"/>
    </row>
    <row r="7" spans="1:8" ht="15.75" thickBot="1">
      <c r="A7" s="190"/>
      <c r="B7" s="186"/>
      <c r="C7" s="143"/>
      <c r="D7" s="5"/>
      <c r="E7" s="5"/>
      <c r="F7" s="5"/>
      <c r="G7" s="163"/>
      <c r="H7" s="186"/>
    </row>
    <row r="8" spans="2:8" ht="15">
      <c r="B8" s="538" t="s">
        <v>14</v>
      </c>
      <c r="C8" s="144" t="s">
        <v>15</v>
      </c>
      <c r="D8" s="6" t="s">
        <v>16</v>
      </c>
      <c r="E8" s="6" t="s">
        <v>17</v>
      </c>
      <c r="F8" s="7" t="s">
        <v>61</v>
      </c>
      <c r="G8" s="164" t="s">
        <v>62</v>
      </c>
      <c r="H8" s="8" t="s">
        <v>50</v>
      </c>
    </row>
    <row r="9" spans="2:8" ht="12.75" customHeight="1" thickBot="1">
      <c r="B9" s="539"/>
      <c r="C9" s="145" t="s">
        <v>238</v>
      </c>
      <c r="D9" s="9"/>
      <c r="E9" s="10"/>
      <c r="F9" s="11" t="s">
        <v>238</v>
      </c>
      <c r="G9" s="165" t="s">
        <v>136</v>
      </c>
      <c r="H9" s="12" t="s">
        <v>239</v>
      </c>
    </row>
    <row r="10" spans="2:8" ht="15">
      <c r="B10" s="13" t="s">
        <v>18</v>
      </c>
      <c r="C10" s="146" t="e">
        <f>SUM(C11:C14)</f>
        <v>#REF!</v>
      </c>
      <c r="D10" s="14">
        <f>SUM(D11:D14)</f>
        <v>0</v>
      </c>
      <c r="E10" s="14">
        <f>SUM(E11:E14)</f>
        <v>0</v>
      </c>
      <c r="F10" s="15" t="e">
        <f>SUM(F11:F14)</f>
        <v>#REF!</v>
      </c>
      <c r="G10" s="166">
        <f>SUM(G11:G14)</f>
        <v>10672638758.052338</v>
      </c>
      <c r="H10" s="53" t="e">
        <f>+(F10-G10)/G10</f>
        <v>#REF!</v>
      </c>
    </row>
    <row r="11" spans="2:8" ht="15">
      <c r="B11" s="16" t="s">
        <v>19</v>
      </c>
      <c r="C11" s="147" t="e">
        <f>+#REF!</f>
        <v>#REF!</v>
      </c>
      <c r="D11" s="17"/>
      <c r="E11" s="17"/>
      <c r="F11" s="18" t="e">
        <f>+#REF!</f>
        <v>#REF!</v>
      </c>
      <c r="G11" s="167">
        <v>5533809852</v>
      </c>
      <c r="H11" s="54" t="e">
        <f>+(F11-G11)/G11</f>
        <v>#REF!</v>
      </c>
    </row>
    <row r="12" spans="2:8" ht="15">
      <c r="B12" s="16" t="s">
        <v>69</v>
      </c>
      <c r="C12" s="147" t="e">
        <f>+#REF!</f>
        <v>#REF!</v>
      </c>
      <c r="D12" s="17"/>
      <c r="E12" s="17"/>
      <c r="F12" s="18" t="e">
        <f>+#REF!</f>
        <v>#REF!</v>
      </c>
      <c r="G12" s="167">
        <v>113390147</v>
      </c>
      <c r="H12" s="54" t="e">
        <f>+(F12-G12)/G12</f>
        <v>#REF!</v>
      </c>
    </row>
    <row r="13" spans="2:8" ht="15">
      <c r="B13" s="16" t="s">
        <v>20</v>
      </c>
      <c r="C13" s="147" t="e">
        <f>+#REF!</f>
        <v>#REF!</v>
      </c>
      <c r="D13" s="19"/>
      <c r="E13" s="17"/>
      <c r="F13" s="51" t="e">
        <f>+#REF!</f>
        <v>#REF!</v>
      </c>
      <c r="G13" s="167">
        <v>50000000</v>
      </c>
      <c r="H13" s="54" t="e">
        <f aca="true" t="shared" si="0" ref="H13:H76">+(F13-G13)/G13</f>
        <v>#REF!</v>
      </c>
    </row>
    <row r="14" spans="2:14" ht="15">
      <c r="B14" s="16" t="s">
        <v>53</v>
      </c>
      <c r="C14" s="147">
        <f>+G113</f>
        <v>5953674351.152338</v>
      </c>
      <c r="D14" s="19"/>
      <c r="E14" s="17"/>
      <c r="F14" s="51">
        <f>SUM(C14:E14)</f>
        <v>5953674351.152338</v>
      </c>
      <c r="G14" s="168">
        <v>4975438759.052338</v>
      </c>
      <c r="H14" s="55">
        <f t="shared" si="0"/>
        <v>0.19661292992908289</v>
      </c>
      <c r="L14" s="130"/>
      <c r="M14" s="130"/>
      <c r="N14" s="130"/>
    </row>
    <row r="15" spans="2:8" ht="15">
      <c r="B15" s="20" t="s">
        <v>21</v>
      </c>
      <c r="C15" s="148" t="e">
        <f>+SUM(C16:C17)</f>
        <v>#REF!</v>
      </c>
      <c r="D15" s="21">
        <f>+SUM(D16:D17)</f>
        <v>0</v>
      </c>
      <c r="E15" s="21">
        <f>+SUM(E16:E17)</f>
        <v>0</v>
      </c>
      <c r="F15" s="22" t="e">
        <f>+SUM(F16:F17)</f>
        <v>#REF!</v>
      </c>
      <c r="G15" s="169">
        <f>+SUM(G16:G17)</f>
        <v>75578375</v>
      </c>
      <c r="H15" s="56" t="e">
        <f t="shared" si="0"/>
        <v>#REF!</v>
      </c>
    </row>
    <row r="16" spans="2:8" ht="15">
      <c r="B16" s="16" t="s">
        <v>22</v>
      </c>
      <c r="C16" s="149">
        <v>3000000</v>
      </c>
      <c r="D16" s="17"/>
      <c r="E16" s="17"/>
      <c r="F16" s="18">
        <f>SUM(C16:E16)</f>
        <v>3000000</v>
      </c>
      <c r="G16" s="170">
        <v>3000000</v>
      </c>
      <c r="H16" s="55">
        <f t="shared" si="0"/>
        <v>0</v>
      </c>
    </row>
    <row r="17" spans="2:8" ht="15">
      <c r="B17" s="16" t="s">
        <v>23</v>
      </c>
      <c r="C17" s="147" t="e">
        <f>+#REF!</f>
        <v>#REF!</v>
      </c>
      <c r="D17" s="19"/>
      <c r="E17" s="17"/>
      <c r="F17" s="18" t="e">
        <f>SUM(C17:E17)</f>
        <v>#REF!</v>
      </c>
      <c r="G17" s="170">
        <v>72578375</v>
      </c>
      <c r="H17" s="55" t="e">
        <f t="shared" si="0"/>
        <v>#REF!</v>
      </c>
    </row>
    <row r="18" spans="2:8" ht="15">
      <c r="B18" s="20" t="s">
        <v>24</v>
      </c>
      <c r="C18" s="148" t="e">
        <f>SUM(C10+C15)</f>
        <v>#REF!</v>
      </c>
      <c r="D18" s="21">
        <f>SUM(D10+D15+D16)</f>
        <v>0</v>
      </c>
      <c r="E18" s="21">
        <f>SUM(E10+E15+E16)</f>
        <v>0</v>
      </c>
      <c r="F18" s="22" t="e">
        <f>SUM(F10+F15)</f>
        <v>#REF!</v>
      </c>
      <c r="G18" s="169">
        <f>SUM(G10+G15)</f>
        <v>10748217133.052338</v>
      </c>
      <c r="H18" s="56" t="e">
        <f t="shared" si="0"/>
        <v>#REF!</v>
      </c>
    </row>
    <row r="19" spans="2:8" ht="15" hidden="1">
      <c r="B19" s="23" t="s">
        <v>25</v>
      </c>
      <c r="C19" s="148"/>
      <c r="D19" s="21"/>
      <c r="E19" s="21"/>
      <c r="F19" s="22"/>
      <c r="G19" s="169"/>
      <c r="H19" s="56"/>
    </row>
    <row r="20" spans="2:10" ht="15" hidden="1">
      <c r="B20" s="24" t="s">
        <v>26</v>
      </c>
      <c r="C20" s="148" t="e">
        <f>+C21+C33</f>
        <v>#REF!</v>
      </c>
      <c r="D20" s="21">
        <f>+D21+D33</f>
        <v>0</v>
      </c>
      <c r="E20" s="21">
        <f>+E21+E33</f>
        <v>0</v>
      </c>
      <c r="F20" s="22" t="e">
        <f>+F21+F33</f>
        <v>#REF!</v>
      </c>
      <c r="G20" s="169">
        <f>+G21+G33</f>
        <v>1039987526</v>
      </c>
      <c r="H20" s="56" t="e">
        <f t="shared" si="0"/>
        <v>#REF!</v>
      </c>
      <c r="I20" s="132" t="e">
        <f>+F20/F112</f>
        <v>#REF!</v>
      </c>
      <c r="J20" s="187"/>
    </row>
    <row r="21" spans="1:11" s="131" customFormat="1" ht="15" hidden="1">
      <c r="A21" s="4"/>
      <c r="B21" s="25" t="s">
        <v>7</v>
      </c>
      <c r="C21" s="148" t="e">
        <f>SUM(C22:C32)</f>
        <v>#REF!</v>
      </c>
      <c r="D21" s="21">
        <f>SUM(D22:D32)</f>
        <v>0</v>
      </c>
      <c r="E21" s="21">
        <f>SUM(E22:E32)</f>
        <v>0</v>
      </c>
      <c r="F21" s="22" t="e">
        <f aca="true" t="shared" si="1" ref="F21:F33">SUM(C21:E21)</f>
        <v>#REF!</v>
      </c>
      <c r="G21" s="169">
        <f>SUM(G22:G32)</f>
        <v>662663636</v>
      </c>
      <c r="H21" s="56" t="e">
        <f t="shared" si="0"/>
        <v>#REF!</v>
      </c>
      <c r="I21" s="132"/>
      <c r="J21" s="129"/>
      <c r="K21" s="130"/>
    </row>
    <row r="22" spans="1:11" s="131" customFormat="1" ht="15" hidden="1">
      <c r="A22" s="4"/>
      <c r="B22" s="26" t="s">
        <v>27</v>
      </c>
      <c r="C22" s="149" t="e">
        <f>+#REF!+#REF!</f>
        <v>#REF!</v>
      </c>
      <c r="D22" s="17"/>
      <c r="E22" s="17"/>
      <c r="F22" s="18" t="e">
        <f t="shared" si="1"/>
        <v>#REF!</v>
      </c>
      <c r="G22" s="171">
        <v>357754192</v>
      </c>
      <c r="H22" s="57" t="e">
        <f t="shared" si="0"/>
        <v>#REF!</v>
      </c>
      <c r="I22" s="132"/>
      <c r="J22" s="129"/>
      <c r="K22" s="130"/>
    </row>
    <row r="23" spans="1:11" s="131" customFormat="1" ht="15" hidden="1">
      <c r="A23" s="4"/>
      <c r="B23" s="26" t="s">
        <v>28</v>
      </c>
      <c r="C23" s="149" t="e">
        <f>+#REF!+#REF!+1</f>
        <v>#REF!</v>
      </c>
      <c r="D23" s="17"/>
      <c r="E23" s="17"/>
      <c r="F23" s="18" t="e">
        <f t="shared" si="1"/>
        <v>#REF!</v>
      </c>
      <c r="G23" s="170">
        <v>14471663</v>
      </c>
      <c r="H23" s="55" t="e">
        <f t="shared" si="0"/>
        <v>#REF!</v>
      </c>
      <c r="I23" s="132"/>
      <c r="J23" s="129"/>
      <c r="K23" s="130"/>
    </row>
    <row r="24" spans="1:14" s="131" customFormat="1" ht="15" hidden="1">
      <c r="A24" s="4"/>
      <c r="B24" s="27" t="s">
        <v>49</v>
      </c>
      <c r="C24" s="150">
        <v>2667737</v>
      </c>
      <c r="D24" s="17"/>
      <c r="E24" s="17"/>
      <c r="F24" s="18">
        <f t="shared" si="1"/>
        <v>2667737</v>
      </c>
      <c r="G24" s="170">
        <v>3657621</v>
      </c>
      <c r="H24" s="55">
        <f t="shared" si="0"/>
        <v>-0.2706360227043753</v>
      </c>
      <c r="I24" s="132"/>
      <c r="J24" s="129"/>
      <c r="K24" s="130"/>
      <c r="N24" s="133"/>
    </row>
    <row r="25" spans="1:11" s="131" customFormat="1" ht="15" hidden="1">
      <c r="A25" s="4"/>
      <c r="B25" s="26" t="s">
        <v>29</v>
      </c>
      <c r="C25" s="149" t="e">
        <f>+#REF!+#REF!</f>
        <v>#REF!</v>
      </c>
      <c r="D25" s="17"/>
      <c r="E25" s="17"/>
      <c r="F25" s="18" t="e">
        <f t="shared" si="1"/>
        <v>#REF!</v>
      </c>
      <c r="G25" s="170">
        <v>29248130</v>
      </c>
      <c r="H25" s="55" t="e">
        <f t="shared" si="0"/>
        <v>#REF!</v>
      </c>
      <c r="I25" s="132"/>
      <c r="J25" s="129"/>
      <c r="K25" s="130"/>
    </row>
    <row r="26" spans="1:11" s="131" customFormat="1" ht="15" hidden="1">
      <c r="A26" s="4"/>
      <c r="B26" s="26" t="s">
        <v>8</v>
      </c>
      <c r="C26" s="149" t="e">
        <f>+#REF!+#REF!+#REF!</f>
        <v>#REF!</v>
      </c>
      <c r="D26" s="17"/>
      <c r="E26" s="17"/>
      <c r="F26" s="18" t="e">
        <f t="shared" si="1"/>
        <v>#REF!</v>
      </c>
      <c r="G26" s="170">
        <v>114424000</v>
      </c>
      <c r="H26" s="55" t="e">
        <f t="shared" si="0"/>
        <v>#REF!</v>
      </c>
      <c r="I26" s="132"/>
      <c r="J26" s="129"/>
      <c r="K26" s="130"/>
    </row>
    <row r="27" spans="1:11" s="131" customFormat="1" ht="15" hidden="1">
      <c r="A27" s="4"/>
      <c r="B27" s="26" t="s">
        <v>30</v>
      </c>
      <c r="C27" s="149" t="e">
        <f>+#REF!+#REF!</f>
        <v>#REF!</v>
      </c>
      <c r="D27" s="17"/>
      <c r="E27" s="17"/>
      <c r="F27" s="18" t="e">
        <f t="shared" si="1"/>
        <v>#REF!</v>
      </c>
      <c r="G27" s="170">
        <v>2115900</v>
      </c>
      <c r="H27" s="55" t="e">
        <f t="shared" si="0"/>
        <v>#REF!</v>
      </c>
      <c r="I27" s="132"/>
      <c r="J27" s="129"/>
      <c r="K27" s="130"/>
    </row>
    <row r="28" spans="1:11" s="131" customFormat="1" ht="15" hidden="1">
      <c r="A28" s="4"/>
      <c r="B28" s="26" t="s">
        <v>31</v>
      </c>
      <c r="C28" s="149" t="e">
        <f>+#REF!+#REF!</f>
        <v>#REF!</v>
      </c>
      <c r="D28" s="17"/>
      <c r="E28" s="17"/>
      <c r="F28" s="18" t="e">
        <f t="shared" si="1"/>
        <v>#REF!</v>
      </c>
      <c r="G28" s="170">
        <v>29248130</v>
      </c>
      <c r="H28" s="55" t="e">
        <f t="shared" si="0"/>
        <v>#REF!</v>
      </c>
      <c r="I28" s="132"/>
      <c r="J28" s="129"/>
      <c r="K28" s="130"/>
    </row>
    <row r="29" spans="1:11" s="131" customFormat="1" ht="15" hidden="1">
      <c r="A29" s="4"/>
      <c r="B29" s="26" t="s">
        <v>32</v>
      </c>
      <c r="C29" s="149" t="e">
        <f>+#REF!+#REF!</f>
        <v>#REF!</v>
      </c>
      <c r="D29" s="17"/>
      <c r="E29" s="17"/>
      <c r="F29" s="18" t="e">
        <f t="shared" si="1"/>
        <v>#REF!</v>
      </c>
      <c r="G29" s="170">
        <v>3510000</v>
      </c>
      <c r="H29" s="55" t="e">
        <f t="shared" si="0"/>
        <v>#REF!</v>
      </c>
      <c r="I29" s="132"/>
      <c r="J29" s="129"/>
      <c r="K29" s="130"/>
    </row>
    <row r="30" spans="1:11" s="131" customFormat="1" ht="15" hidden="1">
      <c r="A30" s="4"/>
      <c r="B30" s="26" t="s">
        <v>33</v>
      </c>
      <c r="C30" s="149" t="e">
        <f>+#REF!+#REF!+#REF!+#REF!+#REF!+#REF!</f>
        <v>#REF!</v>
      </c>
      <c r="D30" s="17"/>
      <c r="E30" s="17"/>
      <c r="F30" s="18" t="e">
        <f t="shared" si="1"/>
        <v>#REF!</v>
      </c>
      <c r="G30" s="170">
        <v>75675000</v>
      </c>
      <c r="H30" s="55" t="e">
        <f t="shared" si="0"/>
        <v>#REF!</v>
      </c>
      <c r="I30" s="132"/>
      <c r="J30" s="129"/>
      <c r="K30" s="130"/>
    </row>
    <row r="31" spans="1:11" s="131" customFormat="1" ht="15" hidden="1">
      <c r="A31" s="4"/>
      <c r="B31" s="26" t="s">
        <v>34</v>
      </c>
      <c r="C31" s="149" t="e">
        <f>+#REF!+#REF!</f>
        <v>#REF!</v>
      </c>
      <c r="D31" s="17"/>
      <c r="E31" s="17"/>
      <c r="F31" s="18" t="e">
        <f t="shared" si="1"/>
        <v>#REF!</v>
      </c>
      <c r="G31" s="170">
        <v>14470000</v>
      </c>
      <c r="H31" s="55" t="e">
        <f t="shared" si="0"/>
        <v>#REF!</v>
      </c>
      <c r="I31" s="132"/>
      <c r="J31" s="129"/>
      <c r="K31" s="130"/>
    </row>
    <row r="32" spans="1:11" s="131" customFormat="1" ht="15" hidden="1">
      <c r="A32" s="4"/>
      <c r="B32" s="26" t="s">
        <v>35</v>
      </c>
      <c r="C32" s="149" t="e">
        <f>+#REF!+#REF!+#REF!+#REF!</f>
        <v>#REF!</v>
      </c>
      <c r="D32" s="17"/>
      <c r="E32" s="17"/>
      <c r="F32" s="18" t="e">
        <f t="shared" si="1"/>
        <v>#REF!</v>
      </c>
      <c r="G32" s="172">
        <v>18089000</v>
      </c>
      <c r="H32" s="58" t="e">
        <f t="shared" si="0"/>
        <v>#REF!</v>
      </c>
      <c r="I32" s="132"/>
      <c r="J32" s="129"/>
      <c r="K32" s="130"/>
    </row>
    <row r="33" spans="1:11" s="131" customFormat="1" ht="15" hidden="1">
      <c r="A33" s="4"/>
      <c r="B33" s="25" t="s">
        <v>9</v>
      </c>
      <c r="C33" s="151" t="e">
        <f>SUM(C34:C48)</f>
        <v>#REF!</v>
      </c>
      <c r="D33" s="29">
        <f>SUM(D34:D48)</f>
        <v>0</v>
      </c>
      <c r="E33" s="29">
        <f>SUM(E34:E48)</f>
        <v>0</v>
      </c>
      <c r="F33" s="22" t="e">
        <f t="shared" si="1"/>
        <v>#REF!</v>
      </c>
      <c r="G33" s="173">
        <f>SUM(G34:G48)</f>
        <v>377323890</v>
      </c>
      <c r="H33" s="56" t="e">
        <f t="shared" si="0"/>
        <v>#REF!</v>
      </c>
      <c r="I33" s="132"/>
      <c r="J33" s="129"/>
      <c r="K33" s="130"/>
    </row>
    <row r="34" spans="1:11" s="131" customFormat="1" ht="15" hidden="1">
      <c r="A34" s="4"/>
      <c r="B34" s="26" t="s">
        <v>125</v>
      </c>
      <c r="C34" s="150" t="e">
        <f>+#REF!+#REF!</f>
        <v>#REF!</v>
      </c>
      <c r="D34" s="17"/>
      <c r="E34" s="17"/>
      <c r="F34" s="18" t="e">
        <f aca="true" t="shared" si="2" ref="F34:F48">SUM(C34:E34)</f>
        <v>#REF!</v>
      </c>
      <c r="G34" s="171">
        <v>20325944</v>
      </c>
      <c r="H34" s="57" t="e">
        <f t="shared" si="0"/>
        <v>#REF!</v>
      </c>
      <c r="I34" s="132"/>
      <c r="J34" s="129"/>
      <c r="K34" s="130"/>
    </row>
    <row r="35" spans="1:11" s="131" customFormat="1" ht="15" hidden="1">
      <c r="A35" s="4"/>
      <c r="B35" s="26" t="s">
        <v>36</v>
      </c>
      <c r="C35" s="150">
        <v>0</v>
      </c>
      <c r="D35" s="17"/>
      <c r="E35" s="17"/>
      <c r="F35" s="18">
        <f t="shared" si="2"/>
        <v>0</v>
      </c>
      <c r="G35" s="170">
        <v>0</v>
      </c>
      <c r="H35" s="55" t="e">
        <f t="shared" si="0"/>
        <v>#DIV/0!</v>
      </c>
      <c r="I35" s="132"/>
      <c r="J35" s="129"/>
      <c r="K35" s="130"/>
    </row>
    <row r="36" spans="1:11" s="131" customFormat="1" ht="15" hidden="1">
      <c r="A36" s="4"/>
      <c r="B36" s="26" t="s">
        <v>37</v>
      </c>
      <c r="C36" s="150" t="e">
        <f>+#REF!+#REF!</f>
        <v>#REF!</v>
      </c>
      <c r="D36" s="17"/>
      <c r="E36" s="17"/>
      <c r="F36" s="18" t="e">
        <f t="shared" si="2"/>
        <v>#REF!</v>
      </c>
      <c r="G36" s="170">
        <v>15578690</v>
      </c>
      <c r="H36" s="55" t="e">
        <f t="shared" si="0"/>
        <v>#REF!</v>
      </c>
      <c r="I36" s="132"/>
      <c r="J36" s="129"/>
      <c r="K36" s="130"/>
    </row>
    <row r="37" spans="1:11" s="131" customFormat="1" ht="15" hidden="1">
      <c r="A37" s="4"/>
      <c r="B37" s="26" t="s">
        <v>3</v>
      </c>
      <c r="C37" s="150" t="e">
        <f>+#REF!</f>
        <v>#REF!</v>
      </c>
      <c r="D37" s="17"/>
      <c r="E37" s="17"/>
      <c r="F37" s="18" t="e">
        <f t="shared" si="2"/>
        <v>#REF!</v>
      </c>
      <c r="G37" s="170">
        <v>5837400</v>
      </c>
      <c r="H37" s="55" t="e">
        <f t="shared" si="0"/>
        <v>#REF!</v>
      </c>
      <c r="I37" s="132"/>
      <c r="J37" s="129"/>
      <c r="K37" s="130"/>
    </row>
    <row r="38" spans="1:11" s="131" customFormat="1" ht="15" hidden="1">
      <c r="A38" s="4"/>
      <c r="B38" s="26" t="s">
        <v>4</v>
      </c>
      <c r="C38" s="150" t="e">
        <f>+#REF!+#REF!</f>
        <v>#REF!</v>
      </c>
      <c r="D38" s="17"/>
      <c r="E38" s="17"/>
      <c r="F38" s="18" t="e">
        <f t="shared" si="2"/>
        <v>#REF!</v>
      </c>
      <c r="G38" s="170">
        <v>145399304</v>
      </c>
      <c r="H38" s="55" t="e">
        <f t="shared" si="0"/>
        <v>#REF!</v>
      </c>
      <c r="I38" s="132"/>
      <c r="J38" s="129"/>
      <c r="K38" s="130"/>
    </row>
    <row r="39" spans="1:11" s="131" customFormat="1" ht="15" hidden="1">
      <c r="A39" s="4"/>
      <c r="B39" s="26" t="s">
        <v>5</v>
      </c>
      <c r="C39" s="150" t="e">
        <f>+#REF!+#REF!+#REF!</f>
        <v>#REF!</v>
      </c>
      <c r="D39" s="17"/>
      <c r="E39" s="17"/>
      <c r="F39" s="18" t="e">
        <f t="shared" si="2"/>
        <v>#REF!</v>
      </c>
      <c r="G39" s="170">
        <v>31726517</v>
      </c>
      <c r="H39" s="55">
        <v>1</v>
      </c>
      <c r="I39" s="132"/>
      <c r="J39" s="129"/>
      <c r="K39" s="130"/>
    </row>
    <row r="40" spans="1:11" s="131" customFormat="1" ht="15" hidden="1">
      <c r="A40" s="4"/>
      <c r="B40" s="26" t="s">
        <v>38</v>
      </c>
      <c r="C40" s="150">
        <v>0</v>
      </c>
      <c r="D40" s="17"/>
      <c r="E40" s="17"/>
      <c r="F40" s="18">
        <f t="shared" si="2"/>
        <v>0</v>
      </c>
      <c r="G40" s="170">
        <v>0</v>
      </c>
      <c r="H40" s="55" t="e">
        <f t="shared" si="0"/>
        <v>#DIV/0!</v>
      </c>
      <c r="I40" s="132"/>
      <c r="J40" s="129"/>
      <c r="K40" s="130"/>
    </row>
    <row r="41" spans="1:11" s="131" customFormat="1" ht="15" hidden="1">
      <c r="A41" s="4"/>
      <c r="B41" s="26" t="s">
        <v>6</v>
      </c>
      <c r="C41" s="150" t="e">
        <f>+#REF!+#REF!</f>
        <v>#REF!</v>
      </c>
      <c r="D41" s="17"/>
      <c r="E41" s="17"/>
      <c r="F41" s="18" t="e">
        <f>SUM(C41:E41)</f>
        <v>#REF!</v>
      </c>
      <c r="G41" s="170">
        <v>32750940</v>
      </c>
      <c r="H41" s="55" t="e">
        <f t="shared" si="0"/>
        <v>#REF!</v>
      </c>
      <c r="I41" s="132"/>
      <c r="J41" s="129"/>
      <c r="K41" s="130"/>
    </row>
    <row r="42" spans="1:11" s="131" customFormat="1" ht="15" hidden="1">
      <c r="A42" s="4"/>
      <c r="B42" s="26" t="s">
        <v>89</v>
      </c>
      <c r="C42" s="150" t="e">
        <f>+#REF!+#REF!</f>
        <v>#REF!</v>
      </c>
      <c r="D42" s="17"/>
      <c r="E42" s="17"/>
      <c r="F42" s="18" t="e">
        <f t="shared" si="2"/>
        <v>#REF!</v>
      </c>
      <c r="G42" s="170">
        <v>4692850</v>
      </c>
      <c r="H42" s="55">
        <v>1</v>
      </c>
      <c r="I42" s="132"/>
      <c r="J42" s="129"/>
      <c r="K42" s="130"/>
    </row>
    <row r="43" spans="1:11" s="131" customFormat="1" ht="15" hidden="1">
      <c r="A43" s="4"/>
      <c r="B43" s="26" t="s">
        <v>39</v>
      </c>
      <c r="C43" s="150" t="e">
        <f>+#REF!+#REF!</f>
        <v>#REF!</v>
      </c>
      <c r="D43" s="17"/>
      <c r="E43" s="17"/>
      <c r="F43" s="18" t="e">
        <f t="shared" si="2"/>
        <v>#REF!</v>
      </c>
      <c r="G43" s="170">
        <v>2769207</v>
      </c>
      <c r="H43" s="55" t="e">
        <f t="shared" si="0"/>
        <v>#REF!</v>
      </c>
      <c r="I43" s="132"/>
      <c r="J43" s="129"/>
      <c r="K43" s="130"/>
    </row>
    <row r="44" spans="1:11" s="131" customFormat="1" ht="15" hidden="1">
      <c r="A44" s="4"/>
      <c r="B44" s="26" t="s">
        <v>40</v>
      </c>
      <c r="C44" s="150" t="e">
        <f>+#REF!</f>
        <v>#REF!</v>
      </c>
      <c r="D44" s="17"/>
      <c r="E44" s="17"/>
      <c r="F44" s="18" t="e">
        <f t="shared" si="2"/>
        <v>#REF!</v>
      </c>
      <c r="G44" s="170">
        <v>45050000</v>
      </c>
      <c r="H44" s="55" t="e">
        <f t="shared" si="0"/>
        <v>#REF!</v>
      </c>
      <c r="I44" s="132"/>
      <c r="J44" s="129"/>
      <c r="K44" s="130"/>
    </row>
    <row r="45" spans="1:11" s="131" customFormat="1" ht="15" hidden="1">
      <c r="A45" s="4"/>
      <c r="B45" s="26" t="s">
        <v>41</v>
      </c>
      <c r="C45" s="150" t="e">
        <f>+#REF!+#REF!</f>
        <v>#REF!</v>
      </c>
      <c r="D45" s="17"/>
      <c r="E45" s="17"/>
      <c r="F45" s="18" t="e">
        <f t="shared" si="2"/>
        <v>#REF!</v>
      </c>
      <c r="G45" s="170">
        <v>18338136</v>
      </c>
      <c r="H45" s="55" t="e">
        <f t="shared" si="0"/>
        <v>#REF!</v>
      </c>
      <c r="I45" s="132"/>
      <c r="J45" s="129"/>
      <c r="K45" s="130"/>
    </row>
    <row r="46" spans="1:11" s="131" customFormat="1" ht="15" hidden="1">
      <c r="A46" s="4"/>
      <c r="B46" s="152" t="s">
        <v>90</v>
      </c>
      <c r="C46" s="150" t="e">
        <f>+#REF!</f>
        <v>#REF!</v>
      </c>
      <c r="D46" s="17"/>
      <c r="E46" s="17"/>
      <c r="F46" s="18" t="e">
        <f>SUM(C46:E46)</f>
        <v>#REF!</v>
      </c>
      <c r="G46" s="170">
        <v>1200000</v>
      </c>
      <c r="H46" s="55" t="e">
        <f>+(F46-G46)/G46</f>
        <v>#REF!</v>
      </c>
      <c r="I46" s="132"/>
      <c r="J46" s="129"/>
      <c r="K46" s="130"/>
    </row>
    <row r="47" spans="1:11" s="131" customFormat="1" ht="15" hidden="1">
      <c r="A47" s="4"/>
      <c r="B47" s="26" t="s">
        <v>10</v>
      </c>
      <c r="C47" s="150" t="e">
        <f>+#REF!</f>
        <v>#REF!</v>
      </c>
      <c r="D47" s="17"/>
      <c r="E47" s="17"/>
      <c r="F47" s="18" t="e">
        <f t="shared" si="2"/>
        <v>#REF!</v>
      </c>
      <c r="G47" s="170">
        <v>15000000</v>
      </c>
      <c r="H47" s="55" t="e">
        <f t="shared" si="0"/>
        <v>#REF!</v>
      </c>
      <c r="I47" s="132"/>
      <c r="J47" s="129"/>
      <c r="K47" s="130"/>
    </row>
    <row r="48" spans="1:13" s="131" customFormat="1" ht="15.75" hidden="1" thickBot="1">
      <c r="A48" s="4"/>
      <c r="B48" s="30" t="s">
        <v>42</v>
      </c>
      <c r="C48" s="153" t="e">
        <f>+#REF!</f>
        <v>#REF!</v>
      </c>
      <c r="D48" s="31"/>
      <c r="E48" s="31"/>
      <c r="F48" s="18" t="e">
        <f t="shared" si="2"/>
        <v>#REF!</v>
      </c>
      <c r="G48" s="174">
        <v>38654902</v>
      </c>
      <c r="H48" s="55" t="e">
        <f t="shared" si="0"/>
        <v>#REF!</v>
      </c>
      <c r="I48" s="132"/>
      <c r="J48" s="129"/>
      <c r="K48" s="130"/>
      <c r="L48" s="133"/>
      <c r="M48" s="133"/>
    </row>
    <row r="49" spans="1:11" s="131" customFormat="1" ht="15.75" hidden="1" thickBot="1">
      <c r="A49" s="4"/>
      <c r="B49" s="32" t="s">
        <v>111</v>
      </c>
      <c r="C49" s="154" t="e">
        <f>+C50</f>
        <v>#REF!</v>
      </c>
      <c r="D49" s="33">
        <f>+D50</f>
        <v>0</v>
      </c>
      <c r="E49" s="33">
        <f>+E50</f>
        <v>0</v>
      </c>
      <c r="F49" s="34" t="e">
        <f>+F50</f>
        <v>#REF!</v>
      </c>
      <c r="G49" s="175">
        <f>+G50</f>
        <v>564719999.9</v>
      </c>
      <c r="H49" s="59" t="e">
        <f t="shared" si="0"/>
        <v>#REF!</v>
      </c>
      <c r="I49" s="132" t="e">
        <f>+F49/F112</f>
        <v>#REF!</v>
      </c>
      <c r="J49" s="129"/>
      <c r="K49" s="130"/>
    </row>
    <row r="50" spans="1:11" s="131" customFormat="1" ht="15" hidden="1">
      <c r="A50" s="4"/>
      <c r="B50" s="35" t="s">
        <v>43</v>
      </c>
      <c r="C50" s="155" t="e">
        <f>(+C11+C12)*10%</f>
        <v>#REF!</v>
      </c>
      <c r="D50" s="36">
        <f>(+D11+D12)*10%</f>
        <v>0</v>
      </c>
      <c r="E50" s="36">
        <f>(+E11+E12)*10%</f>
        <v>0</v>
      </c>
      <c r="F50" s="37" t="e">
        <f>(+F11+F12)*10%</f>
        <v>#REF!</v>
      </c>
      <c r="G50" s="176">
        <f>(+G11+G12)*10%</f>
        <v>564719999.9</v>
      </c>
      <c r="H50" s="60" t="e">
        <f t="shared" si="0"/>
        <v>#REF!</v>
      </c>
      <c r="I50" s="132"/>
      <c r="J50" s="129"/>
      <c r="K50" s="130"/>
    </row>
    <row r="51" spans="1:16" s="131" customFormat="1" ht="15" hidden="1">
      <c r="A51" s="4"/>
      <c r="B51" s="24" t="s">
        <v>112</v>
      </c>
      <c r="C51" s="148" t="e">
        <f>+C52+C64+C82</f>
        <v>#REF!</v>
      </c>
      <c r="D51" s="21">
        <f>+D52+D64+D82</f>
        <v>0</v>
      </c>
      <c r="E51" s="21">
        <f>+E52+E64+E82</f>
        <v>0</v>
      </c>
      <c r="F51" s="22" t="e">
        <f>+F52+F64+F82</f>
        <v>#REF!</v>
      </c>
      <c r="G51" s="169">
        <f>+G52+G64+G82</f>
        <v>3189835256</v>
      </c>
      <c r="H51" s="56" t="e">
        <f t="shared" si="0"/>
        <v>#REF!</v>
      </c>
      <c r="I51" s="132" t="e">
        <f>+F51/F112</f>
        <v>#REF!</v>
      </c>
      <c r="J51" s="129"/>
      <c r="K51" s="130"/>
      <c r="L51" s="134"/>
      <c r="M51" s="134"/>
      <c r="O51" s="135"/>
      <c r="P51" s="188"/>
    </row>
    <row r="52" spans="1:15" s="131" customFormat="1" ht="15" hidden="1">
      <c r="A52" s="4"/>
      <c r="B52" s="25" t="s">
        <v>7</v>
      </c>
      <c r="C52" s="151" t="e">
        <f>SUM(C53:C63)</f>
        <v>#REF!</v>
      </c>
      <c r="D52" s="29">
        <f>SUM(D53:D63)</f>
        <v>0</v>
      </c>
      <c r="E52" s="29">
        <f>SUM(E53:E63)</f>
        <v>0</v>
      </c>
      <c r="F52" s="38" t="e">
        <f>SUM(F53:F63)</f>
        <v>#REF!</v>
      </c>
      <c r="G52" s="173">
        <f>SUM(G53:G63)</f>
        <v>1191732668</v>
      </c>
      <c r="H52" s="56" t="e">
        <f t="shared" si="0"/>
        <v>#REF!</v>
      </c>
      <c r="I52" s="132"/>
      <c r="J52" s="129"/>
      <c r="K52" s="130"/>
      <c r="L52" s="134"/>
      <c r="M52" s="134"/>
      <c r="O52" s="133"/>
    </row>
    <row r="53" spans="1:13" s="131" customFormat="1" ht="15" hidden="1">
      <c r="A53" s="4"/>
      <c r="B53" s="27" t="s">
        <v>27</v>
      </c>
      <c r="C53" s="150" t="e">
        <f>+#REF!</f>
        <v>#REF!</v>
      </c>
      <c r="D53" s="17"/>
      <c r="E53" s="28"/>
      <c r="F53" s="39" t="e">
        <f aca="true" t="shared" si="3" ref="F53:F63">SUM(C53:E53)</f>
        <v>#REF!</v>
      </c>
      <c r="G53" s="177">
        <v>710682861</v>
      </c>
      <c r="H53" s="57" t="e">
        <f t="shared" si="0"/>
        <v>#REF!</v>
      </c>
      <c r="I53" s="132"/>
      <c r="J53" s="129"/>
      <c r="K53" s="130"/>
      <c r="L53" s="134"/>
      <c r="M53" s="134"/>
    </row>
    <row r="54" spans="1:13" s="131" customFormat="1" ht="15" hidden="1">
      <c r="A54" s="4"/>
      <c r="B54" s="27" t="s">
        <v>28</v>
      </c>
      <c r="C54" s="150" t="e">
        <f>+#REF!</f>
        <v>#REF!</v>
      </c>
      <c r="D54" s="17"/>
      <c r="E54" s="28"/>
      <c r="F54" s="39" t="e">
        <f t="shared" si="3"/>
        <v>#REF!</v>
      </c>
      <c r="G54" s="178">
        <v>29178232</v>
      </c>
      <c r="H54" s="55" t="e">
        <f t="shared" si="0"/>
        <v>#REF!</v>
      </c>
      <c r="I54" s="132"/>
      <c r="J54" s="129"/>
      <c r="K54" s="130"/>
      <c r="L54" s="134"/>
      <c r="M54" s="134"/>
    </row>
    <row r="55" spans="1:13" s="131" customFormat="1" ht="15" hidden="1">
      <c r="A55" s="4"/>
      <c r="B55" s="27" t="s">
        <v>49</v>
      </c>
      <c r="C55" s="150" t="e">
        <f>ROUND(+#REF!,0)</f>
        <v>#REF!</v>
      </c>
      <c r="D55" s="17"/>
      <c r="E55" s="28"/>
      <c r="F55" s="39" t="e">
        <f t="shared" si="3"/>
        <v>#REF!</v>
      </c>
      <c r="G55" s="178">
        <v>1219207</v>
      </c>
      <c r="H55" s="55" t="e">
        <f t="shared" si="0"/>
        <v>#REF!</v>
      </c>
      <c r="I55" s="132"/>
      <c r="J55" s="129"/>
      <c r="K55" s="130"/>
      <c r="L55" s="162"/>
      <c r="M55" s="134"/>
    </row>
    <row r="56" spans="1:13" s="131" customFormat="1" ht="15" hidden="1">
      <c r="A56" s="4"/>
      <c r="B56" s="27" t="s">
        <v>29</v>
      </c>
      <c r="C56" s="150" t="e">
        <f>+#REF!</f>
        <v>#REF!</v>
      </c>
      <c r="D56" s="17"/>
      <c r="E56" s="28"/>
      <c r="F56" s="39" t="e">
        <f t="shared" si="3"/>
        <v>#REF!</v>
      </c>
      <c r="G56" s="178">
        <v>58458068</v>
      </c>
      <c r="H56" s="55" t="e">
        <f t="shared" si="0"/>
        <v>#REF!</v>
      </c>
      <c r="I56" s="132"/>
      <c r="J56" s="129"/>
      <c r="K56" s="130"/>
      <c r="M56" s="134"/>
    </row>
    <row r="57" spans="2:13" s="131" customFormat="1" ht="15" hidden="1">
      <c r="B57" s="27" t="s">
        <v>8</v>
      </c>
      <c r="C57" s="156" t="e">
        <f>+#REF!+#REF!+#REF!+#REF!+#REF!+#REF!</f>
        <v>#REF!</v>
      </c>
      <c r="D57" s="137"/>
      <c r="E57" s="138"/>
      <c r="F57" s="139" t="e">
        <f t="shared" si="3"/>
        <v>#REF!</v>
      </c>
      <c r="G57" s="179">
        <v>103667932</v>
      </c>
      <c r="H57" s="140" t="e">
        <f t="shared" si="0"/>
        <v>#REF!</v>
      </c>
      <c r="I57" s="132"/>
      <c r="J57" s="129"/>
      <c r="K57" s="130"/>
      <c r="L57" s="162"/>
      <c r="M57" s="134"/>
    </row>
    <row r="58" spans="1:13" s="131" customFormat="1" ht="15" hidden="1">
      <c r="A58" s="4"/>
      <c r="B58" s="27" t="s">
        <v>30</v>
      </c>
      <c r="C58" s="150" t="e">
        <f>+#REF!</f>
        <v>#REF!</v>
      </c>
      <c r="D58" s="28"/>
      <c r="E58" s="28"/>
      <c r="F58" s="39" t="e">
        <f t="shared" si="3"/>
        <v>#REF!</v>
      </c>
      <c r="G58" s="178">
        <v>705300</v>
      </c>
      <c r="H58" s="55" t="e">
        <f t="shared" si="0"/>
        <v>#REF!</v>
      </c>
      <c r="I58" s="132"/>
      <c r="J58" s="129"/>
      <c r="K58" s="130"/>
      <c r="L58" s="134"/>
      <c r="M58" s="134"/>
    </row>
    <row r="59" spans="1:11" s="131" customFormat="1" ht="15" hidden="1">
      <c r="A59" s="4"/>
      <c r="B59" s="27" t="s">
        <v>31</v>
      </c>
      <c r="C59" s="150" t="e">
        <f>+#REF!</f>
        <v>#REF!</v>
      </c>
      <c r="D59" s="17"/>
      <c r="E59" s="28"/>
      <c r="F59" s="39" t="e">
        <f t="shared" si="3"/>
        <v>#REF!</v>
      </c>
      <c r="G59" s="178">
        <v>58458068</v>
      </c>
      <c r="H59" s="55" t="e">
        <f t="shared" si="0"/>
        <v>#REF!</v>
      </c>
      <c r="I59" s="132"/>
      <c r="J59" s="129"/>
      <c r="K59" s="130"/>
    </row>
    <row r="60" spans="1:11" s="131" customFormat="1" ht="15" hidden="1">
      <c r="A60" s="4"/>
      <c r="B60" s="27" t="s">
        <v>32</v>
      </c>
      <c r="C60" s="150" t="e">
        <f>+#REF!</f>
        <v>#REF!</v>
      </c>
      <c r="D60" s="17"/>
      <c r="E60" s="28"/>
      <c r="F60" s="39" t="e">
        <f t="shared" si="3"/>
        <v>#REF!</v>
      </c>
      <c r="G60" s="178">
        <v>7023000</v>
      </c>
      <c r="H60" s="55" t="e">
        <f t="shared" si="0"/>
        <v>#REF!</v>
      </c>
      <c r="I60" s="132"/>
      <c r="J60" s="129"/>
      <c r="K60" s="130"/>
    </row>
    <row r="61" spans="1:11" s="131" customFormat="1" ht="18" customHeight="1" hidden="1">
      <c r="A61" s="4"/>
      <c r="B61" s="27" t="s">
        <v>33</v>
      </c>
      <c r="C61" s="150" t="e">
        <f>+#REF!+#REF!+#REF!</f>
        <v>#REF!</v>
      </c>
      <c r="D61" s="17"/>
      <c r="E61" s="28"/>
      <c r="F61" s="39" t="e">
        <f t="shared" si="3"/>
        <v>#REF!</v>
      </c>
      <c r="G61" s="178">
        <v>156696000</v>
      </c>
      <c r="H61" s="55" t="e">
        <f t="shared" si="0"/>
        <v>#REF!</v>
      </c>
      <c r="I61" s="132"/>
      <c r="J61" s="129"/>
      <c r="K61" s="130"/>
    </row>
    <row r="62" spans="1:11" s="131" customFormat="1" ht="15" hidden="1">
      <c r="A62" s="4"/>
      <c r="B62" s="27" t="s">
        <v>34</v>
      </c>
      <c r="C62" s="150" t="e">
        <f>+#REF!</f>
        <v>#REF!</v>
      </c>
      <c r="D62" s="17"/>
      <c r="E62" s="28"/>
      <c r="F62" s="39" t="e">
        <f t="shared" si="3"/>
        <v>#REF!</v>
      </c>
      <c r="G62" s="178">
        <v>29182000</v>
      </c>
      <c r="H62" s="55" t="e">
        <f t="shared" si="0"/>
        <v>#REF!</v>
      </c>
      <c r="I62" s="132"/>
      <c r="J62" s="129"/>
      <c r="K62" s="130"/>
    </row>
    <row r="63" spans="1:11" s="131" customFormat="1" ht="15" hidden="1">
      <c r="A63" s="4"/>
      <c r="B63" s="27" t="s">
        <v>35</v>
      </c>
      <c r="C63" s="150" t="e">
        <f>+#REF!+#REF!</f>
        <v>#REF!</v>
      </c>
      <c r="D63" s="17"/>
      <c r="E63" s="28"/>
      <c r="F63" s="39" t="e">
        <f t="shared" si="3"/>
        <v>#REF!</v>
      </c>
      <c r="G63" s="180">
        <v>36462000</v>
      </c>
      <c r="H63" s="58" t="e">
        <f t="shared" si="0"/>
        <v>#REF!</v>
      </c>
      <c r="I63" s="132"/>
      <c r="J63" s="129"/>
      <c r="K63" s="130"/>
    </row>
    <row r="64" spans="1:15" s="131" customFormat="1" ht="15" hidden="1">
      <c r="A64" s="4"/>
      <c r="B64" s="25" t="s">
        <v>9</v>
      </c>
      <c r="C64" s="151" t="e">
        <f>SUM(C65:C81)</f>
        <v>#REF!</v>
      </c>
      <c r="D64" s="29">
        <f>SUM(D65:D81)</f>
        <v>0</v>
      </c>
      <c r="E64" s="29">
        <f>SUM(E65:E81)</f>
        <v>0</v>
      </c>
      <c r="F64" s="38" t="e">
        <f>SUM(F65:F81)</f>
        <v>#REF!</v>
      </c>
      <c r="G64" s="173">
        <f>SUM(G65:G81)</f>
        <v>676943740</v>
      </c>
      <c r="H64" s="56" t="e">
        <f t="shared" si="0"/>
        <v>#REF!</v>
      </c>
      <c r="I64" s="132"/>
      <c r="J64" s="129"/>
      <c r="K64" s="130"/>
      <c r="L64" s="141"/>
      <c r="O64" s="133"/>
    </row>
    <row r="65" spans="1:11" s="131" customFormat="1" ht="15" hidden="1">
      <c r="A65" s="4"/>
      <c r="B65" s="40" t="s">
        <v>125</v>
      </c>
      <c r="C65" s="150" t="e">
        <f>+#REF!+#REF!+#REF!+#REF!+#REF!+#REF!</f>
        <v>#REF!</v>
      </c>
      <c r="D65" s="17"/>
      <c r="E65" s="28"/>
      <c r="F65" s="18" t="e">
        <f>SUM(C65:E65)</f>
        <v>#REF!</v>
      </c>
      <c r="G65" s="181">
        <v>46795725</v>
      </c>
      <c r="H65" s="57" t="e">
        <f t="shared" si="0"/>
        <v>#REF!</v>
      </c>
      <c r="I65" s="132"/>
      <c r="J65" s="129"/>
      <c r="K65" s="130"/>
    </row>
    <row r="66" spans="1:11" s="131" customFormat="1" ht="15" hidden="1">
      <c r="A66" s="4"/>
      <c r="B66" s="40" t="s">
        <v>121</v>
      </c>
      <c r="C66" s="150" t="e">
        <f>+#REF!+#REF!</f>
        <v>#REF!</v>
      </c>
      <c r="D66" s="17"/>
      <c r="E66" s="28"/>
      <c r="F66" s="18" t="e">
        <f aca="true" t="shared" si="4" ref="F66:F81">SUM(C66:E66)</f>
        <v>#REF!</v>
      </c>
      <c r="G66" s="181">
        <v>60500000</v>
      </c>
      <c r="H66" s="57" t="e">
        <f t="shared" si="0"/>
        <v>#REF!</v>
      </c>
      <c r="I66" s="132"/>
      <c r="J66" s="129"/>
      <c r="K66" s="130"/>
    </row>
    <row r="67" spans="1:12" s="131" customFormat="1" ht="15" hidden="1">
      <c r="A67" s="4"/>
      <c r="B67" s="40" t="s">
        <v>36</v>
      </c>
      <c r="C67" s="150">
        <v>0</v>
      </c>
      <c r="D67" s="17"/>
      <c r="E67" s="28"/>
      <c r="F67" s="18">
        <f t="shared" si="4"/>
        <v>0</v>
      </c>
      <c r="G67" s="168">
        <v>0</v>
      </c>
      <c r="H67" s="55" t="e">
        <f t="shared" si="0"/>
        <v>#DIV/0!</v>
      </c>
      <c r="I67" s="132"/>
      <c r="J67" s="129"/>
      <c r="K67" s="130"/>
      <c r="L67" s="141"/>
    </row>
    <row r="68" spans="1:12" s="131" customFormat="1" ht="15" hidden="1">
      <c r="A68" s="4"/>
      <c r="B68" s="40" t="s">
        <v>37</v>
      </c>
      <c r="C68" s="150" t="e">
        <f>+#REF!+#REF!+#REF!+#REF!+#REF!</f>
        <v>#REF!</v>
      </c>
      <c r="D68" s="17"/>
      <c r="E68" s="28"/>
      <c r="F68" s="18" t="e">
        <f t="shared" si="4"/>
        <v>#REF!</v>
      </c>
      <c r="G68" s="168">
        <v>6721000</v>
      </c>
      <c r="H68" s="55" t="e">
        <f t="shared" si="0"/>
        <v>#REF!</v>
      </c>
      <c r="I68" s="132"/>
      <c r="J68" s="129"/>
      <c r="K68" s="130"/>
      <c r="L68" s="134"/>
    </row>
    <row r="69" spans="1:11" s="131" customFormat="1" ht="15" hidden="1">
      <c r="A69" s="4"/>
      <c r="B69" s="40" t="s">
        <v>3</v>
      </c>
      <c r="C69" s="150" t="e">
        <f>+#REF!+#REF!</f>
        <v>#REF!</v>
      </c>
      <c r="D69" s="17"/>
      <c r="E69" s="28"/>
      <c r="F69" s="18" t="e">
        <f t="shared" si="4"/>
        <v>#REF!</v>
      </c>
      <c r="G69" s="168">
        <v>2732400</v>
      </c>
      <c r="H69" s="55" t="e">
        <f t="shared" si="0"/>
        <v>#REF!</v>
      </c>
      <c r="I69" s="132"/>
      <c r="J69" s="129"/>
      <c r="K69" s="130"/>
    </row>
    <row r="70" spans="1:11" s="131" customFormat="1" ht="15" hidden="1">
      <c r="A70" s="4"/>
      <c r="B70" s="40" t="s">
        <v>4</v>
      </c>
      <c r="C70" s="150" t="e">
        <f>+#REF!+#REF!+#REF!+#REF!+#REF!+#REF!</f>
        <v>#REF!</v>
      </c>
      <c r="D70" s="17"/>
      <c r="E70" s="28"/>
      <c r="F70" s="18" t="e">
        <f t="shared" si="4"/>
        <v>#REF!</v>
      </c>
      <c r="G70" s="168">
        <v>180075881</v>
      </c>
      <c r="H70" s="55" t="e">
        <f t="shared" si="0"/>
        <v>#REF!</v>
      </c>
      <c r="I70" s="132"/>
      <c r="J70" s="129"/>
      <c r="K70" s="130"/>
    </row>
    <row r="71" spans="1:13" s="131" customFormat="1" ht="15" hidden="1">
      <c r="A71" s="4"/>
      <c r="B71" s="40" t="s">
        <v>5</v>
      </c>
      <c r="C71" s="150" t="e">
        <f>+#REF!+#REF!+#REF!+#REF!+#REF!+#REF!+#REF!+#REF!+#REF!+#REF!</f>
        <v>#REF!</v>
      </c>
      <c r="D71" s="17"/>
      <c r="E71" s="28"/>
      <c r="F71" s="18" t="e">
        <f t="shared" si="4"/>
        <v>#REF!</v>
      </c>
      <c r="G71" s="168">
        <v>273692798</v>
      </c>
      <c r="H71" s="55" t="e">
        <f t="shared" si="0"/>
        <v>#REF!</v>
      </c>
      <c r="I71" s="132"/>
      <c r="J71" s="129"/>
      <c r="K71" s="130"/>
      <c r="L71" s="136"/>
      <c r="M71" s="136"/>
    </row>
    <row r="72" spans="2:8" ht="15" hidden="1">
      <c r="B72" s="40" t="s">
        <v>38</v>
      </c>
      <c r="C72" s="150" t="e">
        <f>+#REF!</f>
        <v>#REF!</v>
      </c>
      <c r="D72" s="17"/>
      <c r="E72" s="28"/>
      <c r="F72" s="18" t="e">
        <f t="shared" si="4"/>
        <v>#REF!</v>
      </c>
      <c r="G72" s="168">
        <v>24140000</v>
      </c>
      <c r="H72" s="55" t="e">
        <f t="shared" si="0"/>
        <v>#REF!</v>
      </c>
    </row>
    <row r="73" spans="2:8" ht="15" hidden="1">
      <c r="B73" s="40" t="s">
        <v>6</v>
      </c>
      <c r="C73" s="150" t="e">
        <f>+#REF!+#REF!+#REF!+#REF!+#REF!</f>
        <v>#REF!</v>
      </c>
      <c r="D73" s="17"/>
      <c r="E73" s="28"/>
      <c r="F73" s="18" t="e">
        <f t="shared" si="4"/>
        <v>#REF!</v>
      </c>
      <c r="G73" s="168">
        <v>68704000</v>
      </c>
      <c r="H73" s="55" t="e">
        <f t="shared" si="0"/>
        <v>#REF!</v>
      </c>
    </row>
    <row r="74" spans="2:8" ht="15" hidden="1">
      <c r="B74" s="40" t="s">
        <v>89</v>
      </c>
      <c r="C74" s="150" t="e">
        <f>+#REF!+#REF!+#REF!+#REF!</f>
        <v>#REF!</v>
      </c>
      <c r="D74" s="17"/>
      <c r="E74" s="28"/>
      <c r="F74" s="18" t="e">
        <f t="shared" si="4"/>
        <v>#REF!</v>
      </c>
      <c r="G74" s="168">
        <v>1724816</v>
      </c>
      <c r="H74" s="55" t="e">
        <f t="shared" si="0"/>
        <v>#REF!</v>
      </c>
    </row>
    <row r="75" spans="2:8" ht="15" hidden="1">
      <c r="B75" s="40" t="s">
        <v>39</v>
      </c>
      <c r="C75" s="150" t="e">
        <f>+#REF!+#REF!+#REF!+#REF!+#REF!</f>
        <v>#REF!</v>
      </c>
      <c r="D75" s="17"/>
      <c r="E75" s="28"/>
      <c r="F75" s="18" t="e">
        <f t="shared" si="4"/>
        <v>#REF!</v>
      </c>
      <c r="G75" s="168">
        <v>11857120</v>
      </c>
      <c r="H75" s="55" t="e">
        <f t="shared" si="0"/>
        <v>#REF!</v>
      </c>
    </row>
    <row r="76" spans="2:8" ht="15" hidden="1">
      <c r="B76" s="40" t="s">
        <v>40</v>
      </c>
      <c r="C76" s="150">
        <v>0</v>
      </c>
      <c r="D76" s="17"/>
      <c r="E76" s="28"/>
      <c r="F76" s="18">
        <f t="shared" si="4"/>
        <v>0</v>
      </c>
      <c r="G76" s="168">
        <v>0</v>
      </c>
      <c r="H76" s="55" t="e">
        <f t="shared" si="0"/>
        <v>#DIV/0!</v>
      </c>
    </row>
    <row r="77" spans="2:8" ht="15" hidden="1">
      <c r="B77" s="40" t="s">
        <v>41</v>
      </c>
      <c r="C77" s="150" t="e">
        <f>+#REF!</f>
        <v>#REF!</v>
      </c>
      <c r="D77" s="17"/>
      <c r="E77" s="28"/>
      <c r="F77" s="18" t="e">
        <f t="shared" si="4"/>
        <v>#REF!</v>
      </c>
      <c r="G77" s="170">
        <v>0</v>
      </c>
      <c r="H77" s="55">
        <v>1</v>
      </c>
    </row>
    <row r="78" spans="2:8" ht="15" hidden="1">
      <c r="B78" s="40" t="s">
        <v>51</v>
      </c>
      <c r="C78" s="157">
        <v>0</v>
      </c>
      <c r="D78" s="17"/>
      <c r="E78" s="28"/>
      <c r="F78" s="18">
        <f t="shared" si="4"/>
        <v>0</v>
      </c>
      <c r="G78" s="170">
        <v>0</v>
      </c>
      <c r="H78" s="55" t="e">
        <f aca="true" t="shared" si="5" ref="H78:H114">+(F78-G78)/G78</f>
        <v>#DIV/0!</v>
      </c>
    </row>
    <row r="79" spans="2:11" s="131" customFormat="1" ht="15" hidden="1">
      <c r="B79" s="27" t="s">
        <v>90</v>
      </c>
      <c r="C79" s="156" t="e">
        <f>+#REF!+#REF!+#REF!+#REF!+#REF!</f>
        <v>#REF!</v>
      </c>
      <c r="D79" s="137"/>
      <c r="E79" s="138"/>
      <c r="F79" s="51" t="e">
        <f t="shared" si="4"/>
        <v>#REF!</v>
      </c>
      <c r="G79" s="168">
        <v>0</v>
      </c>
      <c r="H79" s="140">
        <v>1</v>
      </c>
      <c r="I79" s="132"/>
      <c r="J79" s="129"/>
      <c r="K79" s="130"/>
    </row>
    <row r="80" spans="2:8" ht="15" hidden="1">
      <c r="B80" s="40" t="s">
        <v>10</v>
      </c>
      <c r="C80" s="150">
        <v>0</v>
      </c>
      <c r="D80" s="28"/>
      <c r="E80" s="28"/>
      <c r="F80" s="18">
        <f t="shared" si="4"/>
        <v>0</v>
      </c>
      <c r="G80" s="170">
        <v>0</v>
      </c>
      <c r="H80" s="55" t="e">
        <f t="shared" si="5"/>
        <v>#DIV/0!</v>
      </c>
    </row>
    <row r="81" spans="2:8" ht="15" hidden="1">
      <c r="B81" s="40" t="s">
        <v>42</v>
      </c>
      <c r="C81" s="150">
        <v>0</v>
      </c>
      <c r="D81" s="28"/>
      <c r="E81" s="28"/>
      <c r="F81" s="18">
        <f t="shared" si="4"/>
        <v>0</v>
      </c>
      <c r="G81" s="172">
        <v>0</v>
      </c>
      <c r="H81" s="55" t="e">
        <f t="shared" si="5"/>
        <v>#DIV/0!</v>
      </c>
    </row>
    <row r="82" spans="2:8" ht="15" hidden="1">
      <c r="B82" s="25" t="s">
        <v>44</v>
      </c>
      <c r="C82" s="151" t="e">
        <f>+C83+C102+C107</f>
        <v>#REF!</v>
      </c>
      <c r="D82" s="29">
        <f>+D83+D102+D107</f>
        <v>0</v>
      </c>
      <c r="E82" s="29">
        <f>+E83+E102+E107</f>
        <v>0</v>
      </c>
      <c r="F82" s="29" t="e">
        <f>+F83+F102+F107</f>
        <v>#REF!</v>
      </c>
      <c r="G82" s="173">
        <f>+G83+G102+G107</f>
        <v>1321158848</v>
      </c>
      <c r="H82" s="56" t="e">
        <f t="shared" si="5"/>
        <v>#REF!</v>
      </c>
    </row>
    <row r="83" spans="2:8" ht="15" hidden="1">
      <c r="B83" s="42" t="s">
        <v>52</v>
      </c>
      <c r="C83" s="151" t="e">
        <f>SUM(C84:C101)</f>
        <v>#REF!</v>
      </c>
      <c r="D83" s="29">
        <f>SUM(D84:D101)</f>
        <v>0</v>
      </c>
      <c r="E83" s="29">
        <f>SUM(E84:E101)</f>
        <v>0</v>
      </c>
      <c r="F83" s="29" t="e">
        <f>SUM(F84:F101)</f>
        <v>#REF!</v>
      </c>
      <c r="G83" s="173">
        <f>SUM(G84:G101)</f>
        <v>361158848</v>
      </c>
      <c r="H83" s="56" t="e">
        <f>+(F83-G83)/G83</f>
        <v>#REF!</v>
      </c>
    </row>
    <row r="84" spans="2:8" ht="15" hidden="1">
      <c r="B84" s="26" t="s">
        <v>87</v>
      </c>
      <c r="C84" s="157" t="e">
        <f>+#REF!+#REF!</f>
        <v>#REF!</v>
      </c>
      <c r="D84" s="41"/>
      <c r="E84" s="41"/>
      <c r="F84" s="18" t="e">
        <f>SUM(C84:E84)</f>
        <v>#REF!</v>
      </c>
      <c r="G84" s="171">
        <v>84700000</v>
      </c>
      <c r="H84" s="57" t="e">
        <f t="shared" si="5"/>
        <v>#REF!</v>
      </c>
    </row>
    <row r="85" spans="2:8" ht="15" hidden="1">
      <c r="B85" s="26" t="s">
        <v>140</v>
      </c>
      <c r="C85" s="157" t="e">
        <f>+#REF!+#REF!</f>
        <v>#REF!</v>
      </c>
      <c r="D85" s="41"/>
      <c r="E85" s="41"/>
      <c r="F85" s="18" t="e">
        <f aca="true" t="shared" si="6" ref="F85:F101">SUM(C85:E85)</f>
        <v>#REF!</v>
      </c>
      <c r="G85" s="171"/>
      <c r="H85" s="57">
        <v>1</v>
      </c>
    </row>
    <row r="86" spans="2:8" ht="15" hidden="1">
      <c r="B86" s="26" t="s">
        <v>141</v>
      </c>
      <c r="C86" s="157" t="e">
        <f>+#REF!</f>
        <v>#REF!</v>
      </c>
      <c r="D86" s="41"/>
      <c r="E86" s="41"/>
      <c r="F86" s="18" t="e">
        <f t="shared" si="6"/>
        <v>#REF!</v>
      </c>
      <c r="G86" s="171"/>
      <c r="H86" s="57">
        <v>1</v>
      </c>
    </row>
    <row r="87" spans="2:8" ht="15" hidden="1">
      <c r="B87" s="26" t="s">
        <v>130</v>
      </c>
      <c r="C87" s="150" t="e">
        <f>+#REF!</f>
        <v>#REF!</v>
      </c>
      <c r="D87" s="28"/>
      <c r="E87" s="28"/>
      <c r="F87" s="18" t="e">
        <f>SUM(C87:E87)</f>
        <v>#REF!</v>
      </c>
      <c r="G87" s="170">
        <v>27500000</v>
      </c>
      <c r="H87" s="57" t="e">
        <f>+(F87-G87)/G87</f>
        <v>#REF!</v>
      </c>
    </row>
    <row r="88" spans="2:8" ht="15" hidden="1">
      <c r="B88" s="26" t="s">
        <v>122</v>
      </c>
      <c r="C88" s="150">
        <v>0</v>
      </c>
      <c r="D88" s="28"/>
      <c r="E88" s="28"/>
      <c r="F88" s="18">
        <f t="shared" si="6"/>
        <v>0</v>
      </c>
      <c r="G88" s="170">
        <v>16920000</v>
      </c>
      <c r="H88" s="57">
        <f t="shared" si="5"/>
        <v>-1</v>
      </c>
    </row>
    <row r="89" spans="2:8" ht="15" hidden="1">
      <c r="B89" s="26" t="s">
        <v>88</v>
      </c>
      <c r="C89" s="150" t="e">
        <f>+#REF!+#REF!</f>
        <v>#REF!</v>
      </c>
      <c r="D89" s="28"/>
      <c r="E89" s="28"/>
      <c r="F89" s="18" t="e">
        <f t="shared" si="6"/>
        <v>#REF!</v>
      </c>
      <c r="G89" s="170">
        <v>120800000</v>
      </c>
      <c r="H89" s="57" t="e">
        <f t="shared" si="5"/>
        <v>#REF!</v>
      </c>
    </row>
    <row r="90" spans="2:8" ht="15" hidden="1">
      <c r="B90" s="26" t="s">
        <v>143</v>
      </c>
      <c r="C90" s="150" t="e">
        <f>+#REF!</f>
        <v>#REF!</v>
      </c>
      <c r="D90" s="28"/>
      <c r="E90" s="28"/>
      <c r="F90" s="18" t="e">
        <f t="shared" si="6"/>
        <v>#REF!</v>
      </c>
      <c r="G90" s="170">
        <v>0</v>
      </c>
      <c r="H90" s="57">
        <v>1</v>
      </c>
    </row>
    <row r="91" spans="2:8" ht="15" hidden="1">
      <c r="B91" s="26" t="s">
        <v>126</v>
      </c>
      <c r="C91" s="150">
        <v>0</v>
      </c>
      <c r="D91" s="28"/>
      <c r="E91" s="28"/>
      <c r="F91" s="18">
        <f t="shared" si="6"/>
        <v>0</v>
      </c>
      <c r="G91" s="170">
        <v>35000000</v>
      </c>
      <c r="H91" s="57">
        <f t="shared" si="5"/>
        <v>-1</v>
      </c>
    </row>
    <row r="92" spans="2:8" ht="15" hidden="1">
      <c r="B92" s="26" t="s">
        <v>123</v>
      </c>
      <c r="C92" s="150">
        <v>0</v>
      </c>
      <c r="D92" s="28"/>
      <c r="E92" s="28"/>
      <c r="F92" s="18">
        <f t="shared" si="6"/>
        <v>0</v>
      </c>
      <c r="G92" s="170">
        <v>8280000</v>
      </c>
      <c r="H92" s="57">
        <f t="shared" si="5"/>
        <v>-1</v>
      </c>
    </row>
    <row r="93" spans="2:8" ht="15" hidden="1">
      <c r="B93" s="26" t="s">
        <v>171</v>
      </c>
      <c r="C93" s="150" t="e">
        <f>+#REF!</f>
        <v>#REF!</v>
      </c>
      <c r="D93" s="28"/>
      <c r="E93" s="28"/>
      <c r="F93" s="18" t="e">
        <f t="shared" si="6"/>
        <v>#REF!</v>
      </c>
      <c r="G93" s="170"/>
      <c r="H93" s="57">
        <v>1</v>
      </c>
    </row>
    <row r="94" spans="2:8" ht="15" hidden="1">
      <c r="B94" s="26" t="s">
        <v>129</v>
      </c>
      <c r="C94" s="150">
        <v>0</v>
      </c>
      <c r="D94" s="28"/>
      <c r="E94" s="28"/>
      <c r="F94" s="18">
        <f t="shared" si="6"/>
        <v>0</v>
      </c>
      <c r="G94" s="170">
        <v>10000000</v>
      </c>
      <c r="H94" s="57">
        <f t="shared" si="5"/>
        <v>-1</v>
      </c>
    </row>
    <row r="95" spans="2:8" ht="15" hidden="1">
      <c r="B95" s="26" t="s">
        <v>144</v>
      </c>
      <c r="C95" s="150">
        <v>0</v>
      </c>
      <c r="D95" s="28"/>
      <c r="E95" s="28"/>
      <c r="F95" s="18">
        <f t="shared" si="6"/>
        <v>0</v>
      </c>
      <c r="G95" s="170"/>
      <c r="H95" s="57">
        <v>1</v>
      </c>
    </row>
    <row r="96" spans="2:8" ht="15" hidden="1">
      <c r="B96" s="26" t="s">
        <v>127</v>
      </c>
      <c r="C96" s="150">
        <v>0</v>
      </c>
      <c r="D96" s="28"/>
      <c r="E96" s="28"/>
      <c r="F96" s="18">
        <f t="shared" si="6"/>
        <v>0</v>
      </c>
      <c r="G96" s="170">
        <v>21000000</v>
      </c>
      <c r="H96" s="57">
        <f t="shared" si="5"/>
        <v>-1</v>
      </c>
    </row>
    <row r="97" spans="2:8" ht="15" hidden="1">
      <c r="B97" s="26" t="s">
        <v>134</v>
      </c>
      <c r="C97" s="150">
        <v>0</v>
      </c>
      <c r="D97" s="28"/>
      <c r="E97" s="28"/>
      <c r="F97" s="18">
        <f t="shared" si="6"/>
        <v>0</v>
      </c>
      <c r="G97" s="170">
        <v>6000000</v>
      </c>
      <c r="H97" s="57">
        <f t="shared" si="5"/>
        <v>-1</v>
      </c>
    </row>
    <row r="98" spans="2:8" ht="15" hidden="1">
      <c r="B98" s="26" t="s">
        <v>142</v>
      </c>
      <c r="C98" s="150">
        <v>0</v>
      </c>
      <c r="D98" s="28"/>
      <c r="E98" s="28"/>
      <c r="F98" s="18">
        <f t="shared" si="6"/>
        <v>0</v>
      </c>
      <c r="G98" s="170">
        <v>0</v>
      </c>
      <c r="H98" s="57">
        <v>1</v>
      </c>
    </row>
    <row r="99" spans="2:8" ht="15" hidden="1">
      <c r="B99" s="26" t="s">
        <v>131</v>
      </c>
      <c r="C99" s="150">
        <v>0</v>
      </c>
      <c r="D99" s="28"/>
      <c r="E99" s="28"/>
      <c r="F99" s="18">
        <f t="shared" si="6"/>
        <v>0</v>
      </c>
      <c r="G99" s="170">
        <v>9158848</v>
      </c>
      <c r="H99" s="57">
        <f t="shared" si="5"/>
        <v>-1</v>
      </c>
    </row>
    <row r="100" spans="2:8" ht="15" hidden="1">
      <c r="B100" s="26" t="s">
        <v>132</v>
      </c>
      <c r="C100" s="150" t="e">
        <f>+#REF!</f>
        <v>#REF!</v>
      </c>
      <c r="D100" s="28"/>
      <c r="E100" s="28"/>
      <c r="F100" s="18" t="e">
        <f t="shared" si="6"/>
        <v>#REF!</v>
      </c>
      <c r="G100" s="170">
        <v>21800000</v>
      </c>
      <c r="H100" s="57" t="e">
        <f t="shared" si="5"/>
        <v>#REF!</v>
      </c>
    </row>
    <row r="101" spans="2:8" ht="15" hidden="1">
      <c r="B101" s="26" t="s">
        <v>145</v>
      </c>
      <c r="C101" s="150">
        <v>0</v>
      </c>
      <c r="D101" s="28"/>
      <c r="E101" s="28"/>
      <c r="F101" s="18">
        <f t="shared" si="6"/>
        <v>0</v>
      </c>
      <c r="G101" s="170">
        <v>0</v>
      </c>
      <c r="H101" s="57">
        <v>1</v>
      </c>
    </row>
    <row r="102" spans="2:8" ht="15" hidden="1">
      <c r="B102" s="42" t="s">
        <v>113</v>
      </c>
      <c r="C102" s="151" t="e">
        <f>SUM(C103:C106)</f>
        <v>#REF!</v>
      </c>
      <c r="D102" s="29">
        <f>SUM(D103:D106)</f>
        <v>0</v>
      </c>
      <c r="E102" s="29">
        <f>SUM(E103:E106)</f>
        <v>0</v>
      </c>
      <c r="F102" s="38" t="e">
        <f>SUM(F103:F106)</f>
        <v>#REF!</v>
      </c>
      <c r="G102" s="173">
        <f>+SUM(G103:G106)</f>
        <v>960000000</v>
      </c>
      <c r="H102" s="56" t="e">
        <f t="shared" si="5"/>
        <v>#REF!</v>
      </c>
    </row>
    <row r="103" spans="2:8" ht="15" hidden="1">
      <c r="B103" s="26" t="s">
        <v>72</v>
      </c>
      <c r="C103" s="150" t="e">
        <f>+#REF!</f>
        <v>#REF!</v>
      </c>
      <c r="D103" s="28"/>
      <c r="E103" s="28"/>
      <c r="F103" s="18" t="e">
        <f>SUM(C103:E103)</f>
        <v>#REF!</v>
      </c>
      <c r="G103" s="171">
        <v>570000000</v>
      </c>
      <c r="H103" s="57" t="e">
        <f t="shared" si="5"/>
        <v>#REF!</v>
      </c>
    </row>
    <row r="104" spans="2:8" ht="15" hidden="1">
      <c r="B104" s="26" t="s">
        <v>73</v>
      </c>
      <c r="C104" s="150" t="e">
        <f>+#REF!</f>
        <v>#REF!</v>
      </c>
      <c r="D104" s="28"/>
      <c r="E104" s="28"/>
      <c r="F104" s="18" t="e">
        <f>SUM(C104:E104)</f>
        <v>#REF!</v>
      </c>
      <c r="G104" s="171">
        <v>150000000</v>
      </c>
      <c r="H104" s="57" t="e">
        <f t="shared" si="5"/>
        <v>#REF!</v>
      </c>
    </row>
    <row r="105" spans="2:8" ht="15" hidden="1">
      <c r="B105" s="26" t="s">
        <v>74</v>
      </c>
      <c r="C105" s="150" t="e">
        <f>+#REF!</f>
        <v>#REF!</v>
      </c>
      <c r="D105" s="28"/>
      <c r="E105" s="28"/>
      <c r="F105" s="18" t="e">
        <f>SUM(C105:E105)</f>
        <v>#REF!</v>
      </c>
      <c r="G105" s="170">
        <v>120000000</v>
      </c>
      <c r="H105" s="55" t="e">
        <f t="shared" si="5"/>
        <v>#REF!</v>
      </c>
    </row>
    <row r="106" spans="2:8" ht="15" hidden="1">
      <c r="B106" s="26" t="s">
        <v>124</v>
      </c>
      <c r="C106" s="150" t="e">
        <f>+#REF!</f>
        <v>#REF!</v>
      </c>
      <c r="D106" s="28"/>
      <c r="E106" s="28"/>
      <c r="F106" s="18" t="e">
        <f>SUM(C106:E106)</f>
        <v>#REF!</v>
      </c>
      <c r="G106" s="170">
        <v>120000000</v>
      </c>
      <c r="H106" s="55" t="e">
        <f t="shared" si="5"/>
        <v>#REF!</v>
      </c>
    </row>
    <row r="107" spans="2:8" ht="15" hidden="1">
      <c r="B107" s="42" t="s">
        <v>244</v>
      </c>
      <c r="C107" s="151">
        <f>SUM(C108:C111)</f>
        <v>370300000</v>
      </c>
      <c r="D107" s="29">
        <f>SUM(D108:D111)</f>
        <v>0</v>
      </c>
      <c r="E107" s="29">
        <f>SUM(E108:E111)</f>
        <v>0</v>
      </c>
      <c r="F107" s="38">
        <f>SUM(F108:F111)</f>
        <v>370300000</v>
      </c>
      <c r="G107" s="173">
        <f>SUM(G108:G111)</f>
        <v>0</v>
      </c>
      <c r="H107" s="56">
        <v>1</v>
      </c>
    </row>
    <row r="108" spans="2:8" ht="15" hidden="1">
      <c r="B108" s="26" t="s">
        <v>241</v>
      </c>
      <c r="C108" s="157">
        <v>60000000</v>
      </c>
      <c r="D108" s="41"/>
      <c r="E108" s="41"/>
      <c r="F108" s="18">
        <f>SUM(C108:E108)</f>
        <v>60000000</v>
      </c>
      <c r="G108" s="170">
        <v>0</v>
      </c>
      <c r="H108" s="55">
        <v>1</v>
      </c>
    </row>
    <row r="109" spans="2:8" ht="15" hidden="1">
      <c r="B109" s="26" t="s">
        <v>242</v>
      </c>
      <c r="C109" s="157">
        <v>60000000</v>
      </c>
      <c r="D109" s="41"/>
      <c r="E109" s="41"/>
      <c r="F109" s="18">
        <f>SUM(C109:E109)</f>
        <v>60000000</v>
      </c>
      <c r="G109" s="170">
        <v>0</v>
      </c>
      <c r="H109" s="55">
        <v>1</v>
      </c>
    </row>
    <row r="110" spans="2:8" ht="15" hidden="1">
      <c r="B110" s="26" t="s">
        <v>243</v>
      </c>
      <c r="C110" s="157">
        <v>60000000</v>
      </c>
      <c r="D110" s="41"/>
      <c r="E110" s="41"/>
      <c r="F110" s="18">
        <f>SUM(C110:E110)</f>
        <v>60000000</v>
      </c>
      <c r="G110" s="170">
        <v>0</v>
      </c>
      <c r="H110" s="55">
        <v>1</v>
      </c>
    </row>
    <row r="111" spans="2:8" ht="15.75" hidden="1" thickBot="1">
      <c r="B111" s="26" t="s">
        <v>245</v>
      </c>
      <c r="C111" s="157">
        <v>190300000</v>
      </c>
      <c r="D111" s="41"/>
      <c r="E111" s="41"/>
      <c r="F111" s="18">
        <f>SUM(C111:E111)</f>
        <v>190300000</v>
      </c>
      <c r="G111" s="170">
        <v>0</v>
      </c>
      <c r="H111" s="55">
        <v>1</v>
      </c>
    </row>
    <row r="112" spans="2:8" ht="15" hidden="1">
      <c r="B112" s="43" t="s">
        <v>114</v>
      </c>
      <c r="C112" s="158" t="e">
        <f>+C51+C20+C49</f>
        <v>#REF!</v>
      </c>
      <c r="D112" s="44">
        <f>+D51+D20+D49</f>
        <v>0</v>
      </c>
      <c r="E112" s="44">
        <f>+E51+E20+E49</f>
        <v>0</v>
      </c>
      <c r="F112" s="45" t="e">
        <f>+F51+F20+F49</f>
        <v>#REF!</v>
      </c>
      <c r="G112" s="182">
        <f>+G51+G20+G49</f>
        <v>4794542781.9</v>
      </c>
      <c r="H112" s="61" t="e">
        <f t="shared" si="5"/>
        <v>#REF!</v>
      </c>
    </row>
    <row r="113" spans="2:8" ht="15" hidden="1">
      <c r="B113" s="46" t="s">
        <v>45</v>
      </c>
      <c r="C113" s="151" t="e">
        <f>+C18-C112</f>
        <v>#REF!</v>
      </c>
      <c r="D113" s="29">
        <f>+D18-D112</f>
        <v>0</v>
      </c>
      <c r="E113" s="29">
        <f>+E18-E112</f>
        <v>0</v>
      </c>
      <c r="F113" s="38" t="e">
        <f>+F18-F112</f>
        <v>#REF!</v>
      </c>
      <c r="G113" s="183">
        <f>+G18-G112</f>
        <v>5953674351.152338</v>
      </c>
      <c r="H113" s="56" t="e">
        <f t="shared" si="5"/>
        <v>#REF!</v>
      </c>
    </row>
    <row r="114" spans="2:8" ht="15.75" hidden="1" thickBot="1">
      <c r="B114" s="47" t="s">
        <v>46</v>
      </c>
      <c r="C114" s="159" t="e">
        <f>SUM(C112:C113)</f>
        <v>#REF!</v>
      </c>
      <c r="D114" s="48">
        <f>SUM(D112:D113)</f>
        <v>0</v>
      </c>
      <c r="E114" s="48">
        <f>SUM(E112:E113)</f>
        <v>0</v>
      </c>
      <c r="F114" s="49" t="e">
        <f>SUM(F112:F113)</f>
        <v>#REF!</v>
      </c>
      <c r="G114" s="184">
        <f>SUM(G112:G113)</f>
        <v>10748217133.052338</v>
      </c>
      <c r="H114" s="62" t="e">
        <f t="shared" si="5"/>
        <v>#REF!</v>
      </c>
    </row>
    <row r="115" spans="2:10" ht="15" hidden="1">
      <c r="B115" s="4" t="s">
        <v>47</v>
      </c>
      <c r="C115" s="160" t="e">
        <f>+C18-C114</f>
        <v>#REF!</v>
      </c>
      <c r="D115" s="3">
        <f>+D18-D114</f>
        <v>0</v>
      </c>
      <c r="E115" s="3">
        <f>+E18-E114</f>
        <v>0</v>
      </c>
      <c r="F115" s="3" t="e">
        <f>+F18-F114</f>
        <v>#REF!</v>
      </c>
      <c r="J115" s="142"/>
    </row>
    <row r="116" spans="2:10" ht="15">
      <c r="B116" s="50"/>
      <c r="H116" s="161"/>
      <c r="J116" s="134"/>
    </row>
    <row r="117" spans="2:8" ht="15">
      <c r="B117" s="50"/>
      <c r="F117" s="189"/>
      <c r="H117" s="161"/>
    </row>
    <row r="118" spans="2:63" s="358" customFormat="1" ht="15">
      <c r="B118" s="367"/>
      <c r="C118" s="368"/>
      <c r="D118" s="369"/>
      <c r="E118" s="369"/>
      <c r="F118" s="369" t="s">
        <v>264</v>
      </c>
      <c r="G118" s="370" t="s">
        <v>265</v>
      </c>
      <c r="H118" s="371" t="s">
        <v>266</v>
      </c>
      <c r="I118" s="363" t="s">
        <v>268</v>
      </c>
      <c r="J118" s="364"/>
      <c r="K118" s="365"/>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row>
    <row r="119" spans="2:63" s="50" customFormat="1" ht="15">
      <c r="B119" s="372" t="s">
        <v>256</v>
      </c>
      <c r="C119" s="373"/>
      <c r="D119" s="374"/>
      <c r="E119" s="374"/>
      <c r="F119" s="375" t="e">
        <f>SUM(F120:F121)</f>
        <v>#REF!</v>
      </c>
      <c r="G119" s="375" t="e">
        <f>SUM(G120:G121)</f>
        <v>#REF!</v>
      </c>
      <c r="H119" s="376" t="e">
        <f aca="true" t="shared" si="7" ref="H119:H130">+(F119-G119)/G119</f>
        <v>#REF!</v>
      </c>
      <c r="I119" s="359" t="e">
        <f>+F119/F133</f>
        <v>#REF!</v>
      </c>
      <c r="J119" s="360"/>
      <c r="K119" s="361"/>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2"/>
      <c r="AY119" s="362"/>
      <c r="AZ119" s="362"/>
      <c r="BA119" s="362"/>
      <c r="BB119" s="362"/>
      <c r="BC119" s="362"/>
      <c r="BD119" s="362"/>
      <c r="BE119" s="362"/>
      <c r="BF119" s="362"/>
      <c r="BG119" s="362"/>
      <c r="BH119" s="362"/>
      <c r="BI119" s="362"/>
      <c r="BJ119" s="362"/>
      <c r="BK119" s="362"/>
    </row>
    <row r="120" spans="2:8" ht="15">
      <c r="B120" s="191" t="s">
        <v>254</v>
      </c>
      <c r="C120" s="377"/>
      <c r="D120" s="378"/>
      <c r="E120" s="378"/>
      <c r="F120" s="378" t="e">
        <f>+#REF!</f>
        <v>#REF!</v>
      </c>
      <c r="G120" s="378" t="e">
        <f>+#REF!</f>
        <v>#REF!</v>
      </c>
      <c r="H120" s="379" t="e">
        <f t="shared" si="7"/>
        <v>#REF!</v>
      </c>
    </row>
    <row r="121" spans="2:8" ht="15">
      <c r="B121" s="191" t="s">
        <v>255</v>
      </c>
      <c r="C121" s="377"/>
      <c r="D121" s="378"/>
      <c r="E121" s="378"/>
      <c r="F121" s="378" t="e">
        <f>+#REF!</f>
        <v>#REF!</v>
      </c>
      <c r="G121" s="378" t="e">
        <f>+#REF!</f>
        <v>#REF!</v>
      </c>
      <c r="H121" s="379" t="e">
        <f t="shared" si="7"/>
        <v>#REF!</v>
      </c>
    </row>
    <row r="122" spans="2:8" ht="15">
      <c r="B122" s="191"/>
      <c r="C122" s="377"/>
      <c r="D122" s="378"/>
      <c r="E122" s="378"/>
      <c r="F122" s="378"/>
      <c r="G122" s="378"/>
      <c r="H122" s="379"/>
    </row>
    <row r="123" spans="2:63" s="50" customFormat="1" ht="15">
      <c r="B123" s="372" t="s">
        <v>257</v>
      </c>
      <c r="C123" s="373"/>
      <c r="D123" s="374"/>
      <c r="E123" s="374"/>
      <c r="F123" s="374" t="e">
        <f>+#REF!</f>
        <v>#REF!</v>
      </c>
      <c r="G123" s="374" t="e">
        <f>+#REF!</f>
        <v>#REF!</v>
      </c>
      <c r="H123" s="376" t="e">
        <f t="shared" si="7"/>
        <v>#REF!</v>
      </c>
      <c r="I123" s="359" t="e">
        <f>+F123/F133</f>
        <v>#REF!</v>
      </c>
      <c r="J123" s="360"/>
      <c r="K123" s="361"/>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S123" s="362"/>
      <c r="AT123" s="362"/>
      <c r="AU123" s="362"/>
      <c r="AV123" s="362"/>
      <c r="AW123" s="362"/>
      <c r="AX123" s="362"/>
      <c r="AY123" s="362"/>
      <c r="AZ123" s="362"/>
      <c r="BA123" s="362"/>
      <c r="BB123" s="362"/>
      <c r="BC123" s="362"/>
      <c r="BD123" s="362"/>
      <c r="BE123" s="362"/>
      <c r="BF123" s="362"/>
      <c r="BG123" s="362"/>
      <c r="BH123" s="362"/>
      <c r="BI123" s="362"/>
      <c r="BJ123" s="362"/>
      <c r="BK123" s="362"/>
    </row>
    <row r="124" spans="2:8" ht="15">
      <c r="B124" s="191"/>
      <c r="C124" s="377"/>
      <c r="D124" s="378"/>
      <c r="E124" s="378"/>
      <c r="F124" s="378"/>
      <c r="G124" s="378"/>
      <c r="H124" s="379"/>
    </row>
    <row r="125" spans="2:63" s="50" customFormat="1" ht="15">
      <c r="B125" s="372" t="s">
        <v>258</v>
      </c>
      <c r="C125" s="373"/>
      <c r="D125" s="374"/>
      <c r="E125" s="374"/>
      <c r="F125" s="374" t="e">
        <f>SUM(F126:F132)</f>
        <v>#REF!</v>
      </c>
      <c r="G125" s="374" t="e">
        <f>SUM(G126:G132)</f>
        <v>#REF!</v>
      </c>
      <c r="H125" s="376" t="e">
        <f>+(F125-G125)/G125</f>
        <v>#REF!</v>
      </c>
      <c r="I125" s="359" t="e">
        <f>+F125/F133</f>
        <v>#REF!</v>
      </c>
      <c r="J125" s="360"/>
      <c r="K125" s="361"/>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362"/>
      <c r="BH125" s="362"/>
      <c r="BI125" s="362"/>
      <c r="BJ125" s="362"/>
      <c r="BK125" s="362"/>
    </row>
    <row r="126" spans="2:10" ht="15">
      <c r="B126" s="191" t="s">
        <v>91</v>
      </c>
      <c r="C126" s="377"/>
      <c r="D126" s="378"/>
      <c r="E126" s="378"/>
      <c r="F126" s="378" t="e">
        <f>+#REF!</f>
        <v>#REF!</v>
      </c>
      <c r="G126" s="378" t="e">
        <f>+#REF!</f>
        <v>#REF!</v>
      </c>
      <c r="H126" s="379" t="e">
        <f t="shared" si="7"/>
        <v>#REF!</v>
      </c>
      <c r="J126" s="359" t="e">
        <f>+F126/$F$125</f>
        <v>#REF!</v>
      </c>
    </row>
    <row r="127" spans="2:10" ht="15">
      <c r="B127" s="191" t="s">
        <v>259</v>
      </c>
      <c r="C127" s="377"/>
      <c r="D127" s="378"/>
      <c r="E127" s="378"/>
      <c r="F127" s="378" t="e">
        <f>+#REF!</f>
        <v>#REF!</v>
      </c>
      <c r="G127" s="378" t="e">
        <f>+#REF!</f>
        <v>#REF!</v>
      </c>
      <c r="H127" s="379" t="e">
        <f t="shared" si="7"/>
        <v>#REF!</v>
      </c>
      <c r="J127" s="359" t="e">
        <f aca="true" t="shared" si="8" ref="J127:J132">+F127/$F$125</f>
        <v>#REF!</v>
      </c>
    </row>
    <row r="128" spans="2:10" ht="15">
      <c r="B128" s="191" t="s">
        <v>260</v>
      </c>
      <c r="C128" s="377"/>
      <c r="D128" s="378"/>
      <c r="E128" s="378"/>
      <c r="F128" s="378" t="e">
        <f>+#REF!</f>
        <v>#REF!</v>
      </c>
      <c r="G128" s="378" t="e">
        <f>+#REF!</f>
        <v>#REF!</v>
      </c>
      <c r="H128" s="379" t="e">
        <f t="shared" si="7"/>
        <v>#REF!</v>
      </c>
      <c r="J128" s="359" t="e">
        <f t="shared" si="8"/>
        <v>#REF!</v>
      </c>
    </row>
    <row r="129" spans="2:10" ht="15">
      <c r="B129" s="191" t="s">
        <v>269</v>
      </c>
      <c r="C129" s="377"/>
      <c r="D129" s="378"/>
      <c r="E129" s="378"/>
      <c r="F129" s="378" t="e">
        <f>+#REF!</f>
        <v>#REF!</v>
      </c>
      <c r="G129" s="378" t="e">
        <f>+#REF!</f>
        <v>#REF!</v>
      </c>
      <c r="H129" s="379" t="e">
        <f t="shared" si="7"/>
        <v>#REF!</v>
      </c>
      <c r="J129" s="359" t="e">
        <f t="shared" si="8"/>
        <v>#REF!</v>
      </c>
    </row>
    <row r="130" spans="2:10" ht="15">
      <c r="B130" s="191" t="s">
        <v>261</v>
      </c>
      <c r="C130" s="377"/>
      <c r="D130" s="378"/>
      <c r="E130" s="378"/>
      <c r="F130" s="378" t="e">
        <f>+#REF!</f>
        <v>#REF!</v>
      </c>
      <c r="G130" s="378" t="e">
        <f>+#REF!</f>
        <v>#REF!</v>
      </c>
      <c r="H130" s="379" t="e">
        <f t="shared" si="7"/>
        <v>#REF!</v>
      </c>
      <c r="J130" s="359" t="e">
        <f t="shared" si="8"/>
        <v>#REF!</v>
      </c>
    </row>
    <row r="131" spans="2:10" ht="15">
      <c r="B131" s="191" t="s">
        <v>262</v>
      </c>
      <c r="C131" s="377"/>
      <c r="D131" s="378"/>
      <c r="E131" s="378"/>
      <c r="F131" s="378" t="e">
        <f>+#REF!</f>
        <v>#REF!</v>
      </c>
      <c r="G131" s="378" t="e">
        <f>+#REF!</f>
        <v>#REF!</v>
      </c>
      <c r="H131" s="379">
        <v>1</v>
      </c>
      <c r="J131" s="359" t="e">
        <f t="shared" si="8"/>
        <v>#REF!</v>
      </c>
    </row>
    <row r="132" spans="2:10" ht="15">
      <c r="B132" s="191" t="s">
        <v>263</v>
      </c>
      <c r="C132" s="377"/>
      <c r="D132" s="378"/>
      <c r="E132" s="378"/>
      <c r="F132" s="378" t="e">
        <f>+#REF!</f>
        <v>#REF!</v>
      </c>
      <c r="G132" s="378" t="e">
        <f>+#REF!</f>
        <v>#REF!</v>
      </c>
      <c r="H132" s="379">
        <v>1</v>
      </c>
      <c r="J132" s="359" t="e">
        <f t="shared" si="8"/>
        <v>#REF!</v>
      </c>
    </row>
    <row r="133" spans="2:63" s="50" customFormat="1" ht="15">
      <c r="B133" s="372" t="s">
        <v>267</v>
      </c>
      <c r="C133" s="373"/>
      <c r="D133" s="374"/>
      <c r="E133" s="374"/>
      <c r="F133" s="374" t="e">
        <f>+F119+F123+F125</f>
        <v>#REF!</v>
      </c>
      <c r="G133" s="380" t="e">
        <f>+G119+G123+G125</f>
        <v>#REF!</v>
      </c>
      <c r="H133" s="376">
        <v>1</v>
      </c>
      <c r="I133" s="359"/>
      <c r="J133" s="360"/>
      <c r="K133" s="361"/>
      <c r="L133" s="362"/>
      <c r="M133" s="362"/>
      <c r="N133" s="362"/>
      <c r="O133" s="362"/>
      <c r="P133" s="362"/>
      <c r="Q133" s="362"/>
      <c r="R133" s="362"/>
      <c r="S133" s="362"/>
      <c r="T133" s="362"/>
      <c r="U133" s="362"/>
      <c r="V133" s="362"/>
      <c r="W133" s="362"/>
      <c r="X133" s="362"/>
      <c r="Y133" s="362"/>
      <c r="Z133" s="362"/>
      <c r="AA133" s="362"/>
      <c r="AB133" s="362"/>
      <c r="AC133" s="362"/>
      <c r="AD133" s="362"/>
      <c r="AE133" s="362"/>
      <c r="AF133" s="362"/>
      <c r="AG133" s="362"/>
      <c r="AH133" s="362"/>
      <c r="AI133" s="362"/>
      <c r="AJ133" s="362"/>
      <c r="AK133" s="362"/>
      <c r="AL133" s="362"/>
      <c r="AM133" s="362"/>
      <c r="AN133" s="362"/>
      <c r="AO133" s="362"/>
      <c r="AP133" s="362"/>
      <c r="AQ133" s="362"/>
      <c r="AR133" s="362"/>
      <c r="AS133" s="362"/>
      <c r="AT133" s="362"/>
      <c r="AU133" s="362"/>
      <c r="AV133" s="362"/>
      <c r="AW133" s="362"/>
      <c r="AX133" s="362"/>
      <c r="AY133" s="362"/>
      <c r="AZ133" s="362"/>
      <c r="BA133" s="362"/>
      <c r="BB133" s="362"/>
      <c r="BC133" s="362"/>
      <c r="BD133" s="362"/>
      <c r="BE133" s="362"/>
      <c r="BF133" s="362"/>
      <c r="BG133" s="362"/>
      <c r="BH133" s="362"/>
      <c r="BI133" s="362"/>
      <c r="BJ133" s="362"/>
      <c r="BK133" s="362"/>
    </row>
    <row r="139" ht="15">
      <c r="G139" s="3"/>
    </row>
  </sheetData>
  <sheetProtection/>
  <autoFilter ref="B8:H115"/>
  <mergeCells count="6">
    <mergeCell ref="B8:B9"/>
    <mergeCell ref="B2:H2"/>
    <mergeCell ref="B3:H3"/>
    <mergeCell ref="B4:H4"/>
    <mergeCell ref="B5:H5"/>
    <mergeCell ref="B6:H6"/>
  </mergeCells>
  <printOptions horizontalCentered="1"/>
  <pageMargins left="0.1968503937007874" right="0.1968503937007874" top="0.3937007874015748" bottom="0.3937007874015748" header="0.31496062992125984" footer="0.31496062992125984"/>
  <pageSetup horizontalDpi="600" verticalDpi="600" orientation="portrait" scale="80" r:id="rId1"/>
</worksheet>
</file>

<file path=xl/worksheets/sheet10.xml><?xml version="1.0" encoding="utf-8"?>
<worksheet xmlns="http://schemas.openxmlformats.org/spreadsheetml/2006/main" xmlns:r="http://schemas.openxmlformats.org/officeDocument/2006/relationships">
  <sheetPr>
    <pageSetUpPr fitToPage="1"/>
  </sheetPr>
  <dimension ref="B2:F39"/>
  <sheetViews>
    <sheetView zoomScale="90" zoomScaleNormal="90" zoomScalePageLayoutView="0" workbookViewId="0" topLeftCell="A1">
      <selection activeCell="E21" sqref="E21"/>
    </sheetView>
  </sheetViews>
  <sheetFormatPr defaultColWidth="9.140625" defaultRowHeight="15"/>
  <cols>
    <col min="1" max="1" width="9.140625" style="195" customWidth="1"/>
    <col min="2" max="2" width="35.7109375" style="195" customWidth="1"/>
    <col min="3" max="3" width="16.7109375" style="195" bestFit="1" customWidth="1"/>
    <col min="4" max="4" width="13.421875" style="195" bestFit="1" customWidth="1"/>
    <col min="5" max="5" width="18.8515625" style="195" customWidth="1"/>
    <col min="6" max="6" width="73.140625" style="195" customWidth="1"/>
    <col min="7" max="16384" width="9.140625" style="195" customWidth="1"/>
  </cols>
  <sheetData>
    <row r="2" spans="2:6" s="320" customFormat="1" ht="15" customHeight="1">
      <c r="B2" s="596" t="s">
        <v>13</v>
      </c>
      <c r="C2" s="596"/>
      <c r="D2" s="596"/>
      <c r="E2" s="596"/>
      <c r="F2" s="596"/>
    </row>
    <row r="3" spans="2:6" s="320" customFormat="1" ht="21" customHeight="1">
      <c r="B3" s="596" t="s">
        <v>211</v>
      </c>
      <c r="C3" s="596"/>
      <c r="D3" s="596"/>
      <c r="E3" s="596"/>
      <c r="F3" s="596"/>
    </row>
    <row r="4" spans="2:6" ht="15.75" thickBot="1">
      <c r="B4" s="320"/>
      <c r="C4" s="321"/>
      <c r="D4" s="320"/>
      <c r="E4" s="321"/>
      <c r="F4" s="320"/>
    </row>
    <row r="5" spans="2:6" ht="15.75" thickBot="1">
      <c r="B5" s="238" t="s">
        <v>138</v>
      </c>
      <c r="C5" s="318" t="s">
        <v>109</v>
      </c>
      <c r="D5" s="316" t="s">
        <v>54</v>
      </c>
      <c r="E5" s="319" t="s">
        <v>235</v>
      </c>
      <c r="F5" s="322" t="s">
        <v>71</v>
      </c>
    </row>
    <row r="6" spans="2:6" ht="15">
      <c r="B6" s="314" t="s">
        <v>9</v>
      </c>
      <c r="C6" s="310"/>
      <c r="D6" s="323"/>
      <c r="E6" s="324">
        <f>+E7+E12+E15</f>
        <v>0</v>
      </c>
      <c r="F6" s="325"/>
    </row>
    <row r="7" spans="2:6" ht="15">
      <c r="B7" s="198" t="s">
        <v>148</v>
      </c>
      <c r="C7" s="317"/>
      <c r="D7" s="317"/>
      <c r="E7" s="317">
        <f>SUM(E8:E11)</f>
        <v>0</v>
      </c>
      <c r="F7" s="326"/>
    </row>
    <row r="8" spans="2:6" ht="15">
      <c r="B8" s="209" t="s">
        <v>212</v>
      </c>
      <c r="C8" s="199">
        <v>3000000</v>
      </c>
      <c r="D8" s="311">
        <v>2</v>
      </c>
      <c r="E8" s="199">
        <v>0</v>
      </c>
      <c r="F8" s="312" t="s">
        <v>213</v>
      </c>
    </row>
    <row r="9" spans="2:6" ht="15">
      <c r="B9" s="209" t="s">
        <v>214</v>
      </c>
      <c r="C9" s="199">
        <v>766500</v>
      </c>
      <c r="D9" s="311">
        <v>6</v>
      </c>
      <c r="E9" s="199">
        <v>0</v>
      </c>
      <c r="F9" s="312" t="s">
        <v>215</v>
      </c>
    </row>
    <row r="10" spans="2:6" ht="15">
      <c r="B10" s="209" t="s">
        <v>216</v>
      </c>
      <c r="C10" s="199">
        <v>600000</v>
      </c>
      <c r="D10" s="311">
        <v>2</v>
      </c>
      <c r="E10" s="199">
        <v>0</v>
      </c>
      <c r="F10" s="312" t="s">
        <v>217</v>
      </c>
    </row>
    <row r="11" spans="2:6" ht="15">
      <c r="B11" s="209" t="s">
        <v>218</v>
      </c>
      <c r="C11" s="199">
        <v>600000</v>
      </c>
      <c r="D11" s="311">
        <v>6</v>
      </c>
      <c r="E11" s="199">
        <v>0</v>
      </c>
      <c r="F11" s="312" t="s">
        <v>219</v>
      </c>
    </row>
    <row r="12" spans="2:6" ht="15">
      <c r="B12" s="198" t="s">
        <v>55</v>
      </c>
      <c r="C12" s="317"/>
      <c r="D12" s="327"/>
      <c r="E12" s="317">
        <f>SUM(E13:E14)</f>
        <v>0</v>
      </c>
      <c r="F12" s="326"/>
    </row>
    <row r="13" spans="2:6" ht="30.75">
      <c r="B13" s="230" t="s">
        <v>220</v>
      </c>
      <c r="C13" s="199">
        <v>20000000</v>
      </c>
      <c r="D13" s="311">
        <v>1</v>
      </c>
      <c r="E13" s="199">
        <v>0</v>
      </c>
      <c r="F13" s="312" t="s">
        <v>221</v>
      </c>
    </row>
    <row r="14" spans="2:6" ht="30.75">
      <c r="B14" s="230" t="s">
        <v>222</v>
      </c>
      <c r="C14" s="199">
        <v>40000000</v>
      </c>
      <c r="D14" s="311">
        <v>1</v>
      </c>
      <c r="E14" s="199">
        <v>0</v>
      </c>
      <c r="F14" s="312" t="s">
        <v>223</v>
      </c>
    </row>
    <row r="15" spans="2:6" ht="15">
      <c r="B15" s="198" t="s">
        <v>139</v>
      </c>
      <c r="C15" s="317"/>
      <c r="D15" s="327"/>
      <c r="E15" s="317">
        <f>SUM(E16:E20)</f>
        <v>0</v>
      </c>
      <c r="F15" s="326"/>
    </row>
    <row r="16" spans="2:6" ht="15">
      <c r="B16" s="209" t="s">
        <v>224</v>
      </c>
      <c r="C16" s="199">
        <v>200000</v>
      </c>
      <c r="D16" s="311">
        <v>500</v>
      </c>
      <c r="E16" s="199">
        <v>0</v>
      </c>
      <c r="F16" s="328" t="s">
        <v>225</v>
      </c>
    </row>
    <row r="17" spans="2:6" ht="46.5">
      <c r="B17" s="209" t="s">
        <v>226</v>
      </c>
      <c r="C17" s="199">
        <v>18000000</v>
      </c>
      <c r="D17" s="311">
        <v>1</v>
      </c>
      <c r="E17" s="199">
        <v>0</v>
      </c>
      <c r="F17" s="328" t="s">
        <v>227</v>
      </c>
    </row>
    <row r="18" spans="2:6" ht="30.75">
      <c r="B18" s="209" t="s">
        <v>228</v>
      </c>
      <c r="C18" s="199">
        <v>3000000</v>
      </c>
      <c r="D18" s="311">
        <v>2</v>
      </c>
      <c r="E18" s="199">
        <v>0</v>
      </c>
      <c r="F18" s="328" t="s">
        <v>229</v>
      </c>
    </row>
    <row r="19" spans="2:6" ht="15">
      <c r="B19" s="209" t="s">
        <v>230</v>
      </c>
      <c r="C19" s="199">
        <v>39000000</v>
      </c>
      <c r="D19" s="311">
        <v>1</v>
      </c>
      <c r="E19" s="199">
        <v>0</v>
      </c>
      <c r="F19" s="328" t="s">
        <v>231</v>
      </c>
    </row>
    <row r="20" spans="2:6" ht="31.5" thickBot="1">
      <c r="B20" s="329" t="s">
        <v>232</v>
      </c>
      <c r="C20" s="330">
        <v>23000000</v>
      </c>
      <c r="D20" s="331">
        <v>1</v>
      </c>
      <c r="E20" s="330">
        <v>0</v>
      </c>
      <c r="F20" s="332" t="s">
        <v>233</v>
      </c>
    </row>
    <row r="21" spans="2:6" ht="15.75" thickBot="1">
      <c r="B21" s="256" t="s">
        <v>46</v>
      </c>
      <c r="C21" s="333"/>
      <c r="D21" s="334"/>
      <c r="E21" s="335">
        <f>E7+E12+E15</f>
        <v>0</v>
      </c>
      <c r="F21" s="336"/>
    </row>
    <row r="22" ht="15.75" thickBot="1"/>
    <row r="23" spans="2:6" ht="15.75" thickBot="1">
      <c r="B23" s="238" t="s">
        <v>138</v>
      </c>
      <c r="C23" s="318" t="s">
        <v>109</v>
      </c>
      <c r="D23" s="316" t="s">
        <v>54</v>
      </c>
      <c r="E23" s="319" t="s">
        <v>235</v>
      </c>
      <c r="F23" s="322" t="s">
        <v>71</v>
      </c>
    </row>
    <row r="24" spans="2:6" ht="15">
      <c r="B24" s="337" t="s">
        <v>9</v>
      </c>
      <c r="C24" s="310"/>
      <c r="D24" s="323"/>
      <c r="E24" s="324">
        <f>+E25+E30+E33</f>
        <v>261399000</v>
      </c>
      <c r="F24" s="325"/>
    </row>
    <row r="25" spans="2:6" ht="15">
      <c r="B25" s="198" t="s">
        <v>148</v>
      </c>
      <c r="C25" s="317"/>
      <c r="D25" s="317"/>
      <c r="E25" s="317">
        <f>SUM(E26:E29)</f>
        <v>15399000</v>
      </c>
      <c r="F25" s="326"/>
    </row>
    <row r="26" spans="2:6" ht="15">
      <c r="B26" s="209" t="s">
        <v>212</v>
      </c>
      <c r="C26" s="199">
        <v>3000000</v>
      </c>
      <c r="D26" s="311">
        <v>2</v>
      </c>
      <c r="E26" s="199">
        <f>+C26*D26</f>
        <v>6000000</v>
      </c>
      <c r="F26" s="312" t="s">
        <v>213</v>
      </c>
    </row>
    <row r="27" spans="2:6" ht="15">
      <c r="B27" s="209" t="s">
        <v>214</v>
      </c>
      <c r="C27" s="199">
        <v>766500</v>
      </c>
      <c r="D27" s="311">
        <v>6</v>
      </c>
      <c r="E27" s="199">
        <f>+C27*D27</f>
        <v>4599000</v>
      </c>
      <c r="F27" s="312" t="s">
        <v>215</v>
      </c>
    </row>
    <row r="28" spans="2:6" ht="15">
      <c r="B28" s="209" t="s">
        <v>216</v>
      </c>
      <c r="C28" s="199">
        <v>600000</v>
      </c>
      <c r="D28" s="311">
        <v>2</v>
      </c>
      <c r="E28" s="199">
        <f>+C28*D28</f>
        <v>1200000</v>
      </c>
      <c r="F28" s="312" t="s">
        <v>217</v>
      </c>
    </row>
    <row r="29" spans="2:6" ht="15">
      <c r="B29" s="209" t="s">
        <v>218</v>
      </c>
      <c r="C29" s="199">
        <v>600000</v>
      </c>
      <c r="D29" s="311">
        <v>6</v>
      </c>
      <c r="E29" s="199">
        <f>+C29*D29</f>
        <v>3600000</v>
      </c>
      <c r="F29" s="312" t="s">
        <v>219</v>
      </c>
    </row>
    <row r="30" spans="2:6" ht="15">
      <c r="B30" s="198" t="s">
        <v>55</v>
      </c>
      <c r="C30" s="317"/>
      <c r="D30" s="327"/>
      <c r="E30" s="317">
        <f>SUM(E31:E32)</f>
        <v>60000000</v>
      </c>
      <c r="F30" s="326"/>
    </row>
    <row r="31" spans="2:6" ht="30.75">
      <c r="B31" s="230" t="s">
        <v>220</v>
      </c>
      <c r="C31" s="199">
        <v>20000000</v>
      </c>
      <c r="D31" s="311">
        <v>1</v>
      </c>
      <c r="E31" s="199">
        <f>+C31*D31</f>
        <v>20000000</v>
      </c>
      <c r="F31" s="312" t="s">
        <v>221</v>
      </c>
    </row>
    <row r="32" spans="2:6" ht="30.75">
      <c r="B32" s="230" t="s">
        <v>222</v>
      </c>
      <c r="C32" s="199">
        <v>40000000</v>
      </c>
      <c r="D32" s="311">
        <v>1</v>
      </c>
      <c r="E32" s="199">
        <f>+C32*D32</f>
        <v>40000000</v>
      </c>
      <c r="F32" s="312" t="s">
        <v>223</v>
      </c>
    </row>
    <row r="33" spans="2:6" ht="15">
      <c r="B33" s="198" t="s">
        <v>139</v>
      </c>
      <c r="C33" s="317"/>
      <c r="D33" s="327"/>
      <c r="E33" s="317">
        <f>SUM(E34:E38)</f>
        <v>186000000</v>
      </c>
      <c r="F33" s="326"/>
    </row>
    <row r="34" spans="2:6" ht="15">
      <c r="B34" s="209" t="s">
        <v>224</v>
      </c>
      <c r="C34" s="199">
        <v>200000</v>
      </c>
      <c r="D34" s="311">
        <v>500</v>
      </c>
      <c r="E34" s="199">
        <f>+D34*C34</f>
        <v>100000000</v>
      </c>
      <c r="F34" s="328" t="s">
        <v>225</v>
      </c>
    </row>
    <row r="35" spans="2:6" ht="46.5">
      <c r="B35" s="209" t="s">
        <v>226</v>
      </c>
      <c r="C35" s="199">
        <v>18000000</v>
      </c>
      <c r="D35" s="311">
        <v>1</v>
      </c>
      <c r="E35" s="199">
        <f>+C35*D35</f>
        <v>18000000</v>
      </c>
      <c r="F35" s="328" t="s">
        <v>227</v>
      </c>
    </row>
    <row r="36" spans="2:6" ht="30.75">
      <c r="B36" s="209" t="s">
        <v>228</v>
      </c>
      <c r="C36" s="199">
        <v>3000000</v>
      </c>
      <c r="D36" s="311">
        <v>2</v>
      </c>
      <c r="E36" s="199">
        <f>+C36*D36</f>
        <v>6000000</v>
      </c>
      <c r="F36" s="328" t="s">
        <v>229</v>
      </c>
    </row>
    <row r="37" spans="2:6" ht="15">
      <c r="B37" s="209" t="s">
        <v>230</v>
      </c>
      <c r="C37" s="199">
        <v>39000000</v>
      </c>
      <c r="D37" s="311">
        <v>1</v>
      </c>
      <c r="E37" s="199">
        <f>+C37*D37</f>
        <v>39000000</v>
      </c>
      <c r="F37" s="328" t="s">
        <v>231</v>
      </c>
    </row>
    <row r="38" spans="2:6" ht="31.5" thickBot="1">
      <c r="B38" s="329" t="s">
        <v>232</v>
      </c>
      <c r="C38" s="330">
        <v>23000000</v>
      </c>
      <c r="D38" s="331">
        <v>1</v>
      </c>
      <c r="E38" s="330">
        <f>+C38*D38</f>
        <v>23000000</v>
      </c>
      <c r="F38" s="332" t="s">
        <v>233</v>
      </c>
    </row>
    <row r="39" spans="2:6" ht="15.75" thickBot="1">
      <c r="B39" s="256" t="s">
        <v>46</v>
      </c>
      <c r="C39" s="333"/>
      <c r="D39" s="334"/>
      <c r="E39" s="335">
        <f>E25+E30+E33</f>
        <v>261399000</v>
      </c>
      <c r="F39" s="336"/>
    </row>
  </sheetData>
  <sheetProtection/>
  <autoFilter ref="B5:F21"/>
  <mergeCells count="2">
    <mergeCell ref="B2:F2"/>
    <mergeCell ref="B3:F3"/>
  </mergeCells>
  <printOptions/>
  <pageMargins left="0.3937007874015748" right="0.3937007874015748" top="0.984251968503937" bottom="0.7874015748031497" header="0.31496062992125984" footer="0.31496062992125984"/>
  <pageSetup fitToHeight="1" fitToWidth="1" horizontalDpi="600" verticalDpi="600" orientation="landscape" scale="77" r:id="rId1"/>
</worksheet>
</file>

<file path=xl/worksheets/sheet11.xml><?xml version="1.0" encoding="utf-8"?>
<worksheet xmlns="http://schemas.openxmlformats.org/spreadsheetml/2006/main" xmlns:r="http://schemas.openxmlformats.org/officeDocument/2006/relationships">
  <dimension ref="B2:O12"/>
  <sheetViews>
    <sheetView zoomScalePageLayoutView="0" workbookViewId="0" topLeftCell="A1">
      <selection activeCell="B4" sqref="B4"/>
    </sheetView>
  </sheetViews>
  <sheetFormatPr defaultColWidth="13.140625" defaultRowHeight="15"/>
  <cols>
    <col min="1" max="1" width="13.140625" style="259" customWidth="1"/>
    <col min="2" max="5" width="17.28125" style="259" customWidth="1"/>
    <col min="6" max="6" width="15.28125" style="259" customWidth="1"/>
    <col min="7" max="7" width="77.140625" style="259" customWidth="1"/>
    <col min="8" max="16384" width="13.140625" style="259" customWidth="1"/>
  </cols>
  <sheetData>
    <row r="2" spans="2:15" ht="15">
      <c r="B2" s="597" t="s">
        <v>13</v>
      </c>
      <c r="C2" s="597"/>
      <c r="D2" s="597"/>
      <c r="E2" s="597"/>
      <c r="F2" s="597"/>
      <c r="G2" s="597"/>
      <c r="H2" s="258"/>
      <c r="I2" s="258"/>
      <c r="K2" s="257"/>
      <c r="L2" s="257"/>
      <c r="M2" s="260"/>
      <c r="O2" s="257"/>
    </row>
    <row r="3" spans="2:15" ht="15">
      <c r="B3" s="597" t="s">
        <v>253</v>
      </c>
      <c r="C3" s="597"/>
      <c r="D3" s="597"/>
      <c r="E3" s="597"/>
      <c r="F3" s="597"/>
      <c r="G3" s="597"/>
      <c r="H3" s="258"/>
      <c r="I3" s="258"/>
      <c r="K3" s="257"/>
      <c r="L3" s="257"/>
      <c r="M3" s="260"/>
      <c r="O3" s="257"/>
    </row>
    <row r="4" ht="15.75" thickBot="1"/>
    <row r="5" spans="2:7" ht="15.75" thickBot="1">
      <c r="B5" s="269" t="s">
        <v>173</v>
      </c>
      <c r="C5" s="270" t="s">
        <v>65</v>
      </c>
      <c r="D5" s="271" t="s">
        <v>54</v>
      </c>
      <c r="E5" s="271" t="s">
        <v>174</v>
      </c>
      <c r="F5" s="272" t="s">
        <v>48</v>
      </c>
      <c r="G5" s="273" t="s">
        <v>66</v>
      </c>
    </row>
    <row r="6" spans="2:7" ht="46.5">
      <c r="B6" s="231" t="s">
        <v>60</v>
      </c>
      <c r="C6" s="315">
        <v>774000</v>
      </c>
      <c r="D6" s="313">
        <v>13</v>
      </c>
      <c r="E6" s="339" t="s">
        <v>60</v>
      </c>
      <c r="F6" s="290">
        <f>+D6*C6</f>
        <v>10062000</v>
      </c>
      <c r="G6" s="255" t="s">
        <v>240</v>
      </c>
    </row>
    <row r="7" spans="2:7" ht="31.5" thickBot="1">
      <c r="B7" s="340" t="s">
        <v>192</v>
      </c>
      <c r="C7" s="341">
        <v>500000</v>
      </c>
      <c r="D7" s="342">
        <v>18</v>
      </c>
      <c r="E7" s="343" t="s">
        <v>252</v>
      </c>
      <c r="F7" s="344">
        <f>+D7*C7</f>
        <v>9000000</v>
      </c>
      <c r="G7" s="345" t="s">
        <v>200</v>
      </c>
    </row>
    <row r="8" spans="2:7" s="262" customFormat="1" ht="15.75" thickBot="1">
      <c r="B8" s="346" t="s">
        <v>2</v>
      </c>
      <c r="C8" s="250"/>
      <c r="D8" s="347"/>
      <c r="E8" s="348"/>
      <c r="F8" s="253">
        <f>SUM(F6:F7)</f>
        <v>19062000</v>
      </c>
      <c r="G8" s="349"/>
    </row>
    <row r="10" ht="15">
      <c r="F10" s="352"/>
    </row>
    <row r="12" ht="15">
      <c r="C12" s="266"/>
    </row>
  </sheetData>
  <sheetProtection/>
  <mergeCells count="2">
    <mergeCell ref="B2:G2"/>
    <mergeCell ref="B3:G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O18"/>
  <sheetViews>
    <sheetView zoomScalePageLayoutView="0" workbookViewId="0" topLeftCell="A1">
      <selection activeCell="F10" sqref="F10"/>
    </sheetView>
  </sheetViews>
  <sheetFormatPr defaultColWidth="13.140625" defaultRowHeight="15"/>
  <cols>
    <col min="1" max="1" width="13.140625" style="259" customWidth="1"/>
    <col min="2" max="5" width="17.28125" style="259" customWidth="1"/>
    <col min="6" max="6" width="15.28125" style="259" customWidth="1"/>
    <col min="7" max="7" width="77.140625" style="259" customWidth="1"/>
    <col min="8" max="16384" width="13.140625" style="259" customWidth="1"/>
  </cols>
  <sheetData>
    <row r="2" spans="2:15" ht="21" customHeight="1">
      <c r="B2" s="597" t="s">
        <v>13</v>
      </c>
      <c r="C2" s="597"/>
      <c r="D2" s="597"/>
      <c r="E2" s="597"/>
      <c r="F2" s="597"/>
      <c r="G2" s="597"/>
      <c r="H2" s="258"/>
      <c r="I2" s="258"/>
      <c r="K2" s="257"/>
      <c r="L2" s="257"/>
      <c r="M2" s="260"/>
      <c r="O2" s="257"/>
    </row>
    <row r="3" spans="2:15" ht="21" customHeight="1">
      <c r="B3" s="597" t="s">
        <v>201</v>
      </c>
      <c r="C3" s="597"/>
      <c r="D3" s="597"/>
      <c r="E3" s="597"/>
      <c r="F3" s="597"/>
      <c r="G3" s="597"/>
      <c r="H3" s="258"/>
      <c r="I3" s="258"/>
      <c r="K3" s="257"/>
      <c r="L3" s="257"/>
      <c r="M3" s="260"/>
      <c r="O3" s="257"/>
    </row>
    <row r="4" ht="15.75" thickBot="1"/>
    <row r="5" spans="2:7" ht="15.75" thickBot="1">
      <c r="B5" s="269" t="s">
        <v>173</v>
      </c>
      <c r="C5" s="270" t="s">
        <v>65</v>
      </c>
      <c r="D5" s="271" t="s">
        <v>54</v>
      </c>
      <c r="E5" s="271" t="s">
        <v>174</v>
      </c>
      <c r="F5" s="272" t="s">
        <v>48</v>
      </c>
      <c r="G5" s="273" t="s">
        <v>66</v>
      </c>
    </row>
    <row r="6" spans="2:7" ht="61.5">
      <c r="B6" s="353" t="s">
        <v>85</v>
      </c>
      <c r="C6" s="290">
        <v>700000</v>
      </c>
      <c r="D6" s="339">
        <v>4</v>
      </c>
      <c r="E6" s="339" t="s">
        <v>57</v>
      </c>
      <c r="F6" s="290">
        <f>+D6*C6</f>
        <v>2800000</v>
      </c>
      <c r="G6" s="354" t="s">
        <v>202</v>
      </c>
    </row>
    <row r="7" spans="2:7" ht="62.25" thickBot="1">
      <c r="B7" s="355" t="s">
        <v>60</v>
      </c>
      <c r="C7" s="293">
        <v>774000</v>
      </c>
      <c r="D7" s="356">
        <v>4</v>
      </c>
      <c r="E7" s="356" t="s">
        <v>57</v>
      </c>
      <c r="F7" s="293">
        <f>+D7*C7</f>
        <v>3096000</v>
      </c>
      <c r="G7" s="357" t="s">
        <v>202</v>
      </c>
    </row>
    <row r="8" spans="2:7" s="262" customFormat="1" ht="15.75" thickBot="1">
      <c r="B8" s="284" t="s">
        <v>2</v>
      </c>
      <c r="C8" s="274"/>
      <c r="D8" s="275"/>
      <c r="E8" s="276"/>
      <c r="F8" s="277">
        <f>SUM(F6:F7)</f>
        <v>5896000</v>
      </c>
      <c r="G8" s="278"/>
    </row>
    <row r="10" ht="15">
      <c r="F10" s="352"/>
    </row>
    <row r="12" spans="2:5" s="262" customFormat="1" ht="15">
      <c r="B12" s="598" t="s">
        <v>176</v>
      </c>
      <c r="C12" s="598"/>
      <c r="D12" s="598"/>
      <c r="E12" s="598"/>
    </row>
    <row r="13" spans="2:5" ht="15">
      <c r="B13" s="263"/>
      <c r="C13" s="263" t="s">
        <v>177</v>
      </c>
      <c r="D13" s="263" t="s">
        <v>178</v>
      </c>
      <c r="E13" s="263" t="s">
        <v>179</v>
      </c>
    </row>
    <row r="14" spans="2:5" ht="15" customHeight="1">
      <c r="B14" s="599" t="s">
        <v>203</v>
      </c>
      <c r="C14" s="264" t="s">
        <v>184</v>
      </c>
      <c r="D14" s="265" t="s">
        <v>204</v>
      </c>
      <c r="E14" s="264">
        <v>1</v>
      </c>
    </row>
    <row r="15" spans="2:5" ht="15">
      <c r="B15" s="600"/>
      <c r="C15" s="264" t="s">
        <v>186</v>
      </c>
      <c r="D15" s="261" t="s">
        <v>205</v>
      </c>
      <c r="E15" s="264">
        <v>1</v>
      </c>
    </row>
    <row r="16" spans="2:5" ht="15.75" customHeight="1">
      <c r="B16" s="599" t="s">
        <v>206</v>
      </c>
      <c r="C16" s="264" t="s">
        <v>184</v>
      </c>
      <c r="D16" s="265" t="s">
        <v>204</v>
      </c>
      <c r="E16" s="264">
        <v>1</v>
      </c>
    </row>
    <row r="17" spans="2:5" ht="15.75" customHeight="1">
      <c r="B17" s="600"/>
      <c r="C17" s="264" t="s">
        <v>186</v>
      </c>
      <c r="D17" s="265" t="s">
        <v>207</v>
      </c>
      <c r="E17" s="264">
        <v>1</v>
      </c>
    </row>
    <row r="18" ht="15">
      <c r="C18" s="266"/>
    </row>
  </sheetData>
  <sheetProtection/>
  <mergeCells count="5">
    <mergeCell ref="B2:G2"/>
    <mergeCell ref="B3:G3"/>
    <mergeCell ref="B12:E12"/>
    <mergeCell ref="B14:B15"/>
    <mergeCell ref="B16:B17"/>
  </mergeCells>
  <printOptions/>
  <pageMargins left="0.7086614173228347" right="0.7086614173228347" top="0.7480314960629921" bottom="0.7480314960629921" header="0.31496062992125984" footer="0.31496062992125984"/>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2:IV15"/>
  <sheetViews>
    <sheetView zoomScalePageLayoutView="0" workbookViewId="0" topLeftCell="A1">
      <selection activeCell="F9" sqref="F9"/>
    </sheetView>
  </sheetViews>
  <sheetFormatPr defaultColWidth="13.140625" defaultRowHeight="15"/>
  <cols>
    <col min="1" max="1" width="13.140625" style="259" customWidth="1"/>
    <col min="2" max="2" width="20.28125" style="259" customWidth="1"/>
    <col min="3" max="3" width="17.28125" style="259" customWidth="1"/>
    <col min="4" max="4" width="16.140625" style="259" customWidth="1"/>
    <col min="5" max="5" width="13.28125" style="259" customWidth="1"/>
    <col min="6" max="6" width="14.421875" style="259" customWidth="1"/>
    <col min="7" max="7" width="65.28125" style="259" customWidth="1"/>
    <col min="8" max="16384" width="13.140625" style="259" customWidth="1"/>
  </cols>
  <sheetData>
    <row r="2" spans="2:15" ht="21" customHeight="1">
      <c r="B2" s="597" t="s">
        <v>13</v>
      </c>
      <c r="C2" s="597"/>
      <c r="D2" s="597"/>
      <c r="E2" s="597"/>
      <c r="F2" s="597"/>
      <c r="G2" s="597"/>
      <c r="H2" s="258"/>
      <c r="I2" s="258"/>
      <c r="K2" s="257"/>
      <c r="L2" s="257"/>
      <c r="M2" s="260"/>
      <c r="O2" s="257"/>
    </row>
    <row r="3" spans="1:256" ht="21" customHeight="1">
      <c r="A3" s="603" t="s">
        <v>209</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t="s">
        <v>208</v>
      </c>
      <c r="AH3" s="603"/>
      <c r="AI3" s="603"/>
      <c r="AJ3" s="603"/>
      <c r="AK3" s="603"/>
      <c r="AL3" s="603"/>
      <c r="AM3" s="603"/>
      <c r="AN3" s="603"/>
      <c r="AO3" s="603" t="s">
        <v>208</v>
      </c>
      <c r="AP3" s="603"/>
      <c r="AQ3" s="603"/>
      <c r="AR3" s="603"/>
      <c r="AS3" s="603"/>
      <c r="AT3" s="603"/>
      <c r="AU3" s="603"/>
      <c r="AV3" s="603"/>
      <c r="AW3" s="603" t="s">
        <v>208</v>
      </c>
      <c r="AX3" s="603"/>
      <c r="AY3" s="603"/>
      <c r="AZ3" s="603"/>
      <c r="BA3" s="603"/>
      <c r="BB3" s="603"/>
      <c r="BC3" s="603"/>
      <c r="BD3" s="603"/>
      <c r="BE3" s="603" t="s">
        <v>208</v>
      </c>
      <c r="BF3" s="603"/>
      <c r="BG3" s="603"/>
      <c r="BH3" s="603"/>
      <c r="BI3" s="603"/>
      <c r="BJ3" s="603"/>
      <c r="BK3" s="603"/>
      <c r="BL3" s="603"/>
      <c r="BM3" s="603" t="s">
        <v>208</v>
      </c>
      <c r="BN3" s="603"/>
      <c r="BO3" s="603"/>
      <c r="BP3" s="603"/>
      <c r="BQ3" s="603"/>
      <c r="BR3" s="603"/>
      <c r="BS3" s="603"/>
      <c r="BT3" s="603"/>
      <c r="BU3" s="603" t="s">
        <v>208</v>
      </c>
      <c r="BV3" s="603"/>
      <c r="BW3" s="603"/>
      <c r="BX3" s="603"/>
      <c r="BY3" s="603"/>
      <c r="BZ3" s="603"/>
      <c r="CA3" s="603"/>
      <c r="CB3" s="603"/>
      <c r="CC3" s="603" t="s">
        <v>208</v>
      </c>
      <c r="CD3" s="603"/>
      <c r="CE3" s="603"/>
      <c r="CF3" s="603"/>
      <c r="CG3" s="603"/>
      <c r="CH3" s="603"/>
      <c r="CI3" s="603"/>
      <c r="CJ3" s="603"/>
      <c r="CK3" s="603" t="s">
        <v>208</v>
      </c>
      <c r="CL3" s="603"/>
      <c r="CM3" s="603"/>
      <c r="CN3" s="603"/>
      <c r="CO3" s="603"/>
      <c r="CP3" s="603"/>
      <c r="CQ3" s="603"/>
      <c r="CR3" s="603"/>
      <c r="CS3" s="603" t="s">
        <v>208</v>
      </c>
      <c r="CT3" s="603"/>
      <c r="CU3" s="603"/>
      <c r="CV3" s="603"/>
      <c r="CW3" s="603"/>
      <c r="CX3" s="603"/>
      <c r="CY3" s="603"/>
      <c r="CZ3" s="603"/>
      <c r="DA3" s="603" t="s">
        <v>208</v>
      </c>
      <c r="DB3" s="603"/>
      <c r="DC3" s="603"/>
      <c r="DD3" s="603"/>
      <c r="DE3" s="603"/>
      <c r="DF3" s="603"/>
      <c r="DG3" s="603"/>
      <c r="DH3" s="603"/>
      <c r="DI3" s="603" t="s">
        <v>208</v>
      </c>
      <c r="DJ3" s="603"/>
      <c r="DK3" s="603"/>
      <c r="DL3" s="603"/>
      <c r="DM3" s="603"/>
      <c r="DN3" s="603"/>
      <c r="DO3" s="603"/>
      <c r="DP3" s="603"/>
      <c r="DQ3" s="603" t="s">
        <v>208</v>
      </c>
      <c r="DR3" s="603"/>
      <c r="DS3" s="603"/>
      <c r="DT3" s="603"/>
      <c r="DU3" s="603"/>
      <c r="DV3" s="603"/>
      <c r="DW3" s="603"/>
      <c r="DX3" s="603"/>
      <c r="DY3" s="603" t="s">
        <v>208</v>
      </c>
      <c r="DZ3" s="603"/>
      <c r="EA3" s="603"/>
      <c r="EB3" s="603"/>
      <c r="EC3" s="603"/>
      <c r="ED3" s="603"/>
      <c r="EE3" s="603"/>
      <c r="EF3" s="603"/>
      <c r="EG3" s="603" t="s">
        <v>208</v>
      </c>
      <c r="EH3" s="603"/>
      <c r="EI3" s="603"/>
      <c r="EJ3" s="603"/>
      <c r="EK3" s="603"/>
      <c r="EL3" s="603"/>
      <c r="EM3" s="603"/>
      <c r="EN3" s="603"/>
      <c r="EO3" s="603" t="s">
        <v>208</v>
      </c>
      <c r="EP3" s="603"/>
      <c r="EQ3" s="603"/>
      <c r="ER3" s="603"/>
      <c r="ES3" s="603"/>
      <c r="ET3" s="603"/>
      <c r="EU3" s="603"/>
      <c r="EV3" s="603"/>
      <c r="EW3" s="603" t="s">
        <v>208</v>
      </c>
      <c r="EX3" s="603"/>
      <c r="EY3" s="603"/>
      <c r="EZ3" s="603"/>
      <c r="FA3" s="603"/>
      <c r="FB3" s="603"/>
      <c r="FC3" s="603"/>
      <c r="FD3" s="603"/>
      <c r="FE3" s="603" t="s">
        <v>208</v>
      </c>
      <c r="FF3" s="603"/>
      <c r="FG3" s="603"/>
      <c r="FH3" s="603"/>
      <c r="FI3" s="603"/>
      <c r="FJ3" s="603"/>
      <c r="FK3" s="603"/>
      <c r="FL3" s="603"/>
      <c r="FM3" s="603" t="s">
        <v>208</v>
      </c>
      <c r="FN3" s="603"/>
      <c r="FO3" s="603"/>
      <c r="FP3" s="603"/>
      <c r="FQ3" s="603"/>
      <c r="FR3" s="603"/>
      <c r="FS3" s="603"/>
      <c r="FT3" s="603"/>
      <c r="FU3" s="603" t="s">
        <v>208</v>
      </c>
      <c r="FV3" s="603"/>
      <c r="FW3" s="603"/>
      <c r="FX3" s="603"/>
      <c r="FY3" s="603"/>
      <c r="FZ3" s="603"/>
      <c r="GA3" s="603"/>
      <c r="GB3" s="603"/>
      <c r="GC3" s="603" t="s">
        <v>208</v>
      </c>
      <c r="GD3" s="603"/>
      <c r="GE3" s="603"/>
      <c r="GF3" s="603"/>
      <c r="GG3" s="603"/>
      <c r="GH3" s="603"/>
      <c r="GI3" s="603"/>
      <c r="GJ3" s="603"/>
      <c r="GK3" s="603" t="s">
        <v>208</v>
      </c>
      <c r="GL3" s="603"/>
      <c r="GM3" s="603"/>
      <c r="GN3" s="603"/>
      <c r="GO3" s="603"/>
      <c r="GP3" s="603"/>
      <c r="GQ3" s="603"/>
      <c r="GR3" s="603"/>
      <c r="GS3" s="603" t="s">
        <v>208</v>
      </c>
      <c r="GT3" s="603"/>
      <c r="GU3" s="603"/>
      <c r="GV3" s="603"/>
      <c r="GW3" s="603"/>
      <c r="GX3" s="603"/>
      <c r="GY3" s="603"/>
      <c r="GZ3" s="603"/>
      <c r="HA3" s="603" t="s">
        <v>208</v>
      </c>
      <c r="HB3" s="603"/>
      <c r="HC3" s="603"/>
      <c r="HD3" s="603"/>
      <c r="HE3" s="603"/>
      <c r="HF3" s="603"/>
      <c r="HG3" s="603"/>
      <c r="HH3" s="603"/>
      <c r="HI3" s="603" t="s">
        <v>208</v>
      </c>
      <c r="HJ3" s="603"/>
      <c r="HK3" s="603"/>
      <c r="HL3" s="603"/>
      <c r="HM3" s="603"/>
      <c r="HN3" s="603"/>
      <c r="HO3" s="603"/>
      <c r="HP3" s="603"/>
      <c r="HQ3" s="603" t="s">
        <v>208</v>
      </c>
      <c r="HR3" s="603"/>
      <c r="HS3" s="603"/>
      <c r="HT3" s="603"/>
      <c r="HU3" s="603"/>
      <c r="HV3" s="603"/>
      <c r="HW3" s="603"/>
      <c r="HX3" s="603"/>
      <c r="HY3" s="603" t="s">
        <v>208</v>
      </c>
      <c r="HZ3" s="603"/>
      <c r="IA3" s="603"/>
      <c r="IB3" s="603"/>
      <c r="IC3" s="603"/>
      <c r="ID3" s="603"/>
      <c r="IE3" s="603"/>
      <c r="IF3" s="603"/>
      <c r="IG3" s="603" t="s">
        <v>208</v>
      </c>
      <c r="IH3" s="603"/>
      <c r="II3" s="603"/>
      <c r="IJ3" s="603"/>
      <c r="IK3" s="603"/>
      <c r="IL3" s="603"/>
      <c r="IM3" s="603"/>
      <c r="IN3" s="603"/>
      <c r="IO3" s="603" t="s">
        <v>208</v>
      </c>
      <c r="IP3" s="603"/>
      <c r="IQ3" s="603"/>
      <c r="IR3" s="603"/>
      <c r="IS3" s="603"/>
      <c r="IT3" s="603"/>
      <c r="IU3" s="603"/>
      <c r="IV3" s="603"/>
    </row>
    <row r="4" ht="15.75" thickBot="1"/>
    <row r="5" spans="2:7" ht="15.75" thickBot="1">
      <c r="B5" s="269" t="s">
        <v>173</v>
      </c>
      <c r="C5" s="270" t="s">
        <v>65</v>
      </c>
      <c r="D5" s="271" t="s">
        <v>54</v>
      </c>
      <c r="E5" s="271" t="s">
        <v>174</v>
      </c>
      <c r="F5" s="272" t="s">
        <v>48</v>
      </c>
      <c r="G5" s="273" t="s">
        <v>66</v>
      </c>
    </row>
    <row r="6" spans="2:7" ht="77.25" customHeight="1" thickBot="1">
      <c r="B6" s="279" t="s">
        <v>85</v>
      </c>
      <c r="C6" s="280" t="e">
        <f>#REF!</f>
        <v>#REF!</v>
      </c>
      <c r="D6" s="281" t="e">
        <f>#REF!</f>
        <v>#REF!</v>
      </c>
      <c r="E6" s="282" t="s">
        <v>57</v>
      </c>
      <c r="F6" s="280" t="e">
        <f>+D6*C6</f>
        <v>#REF!</v>
      </c>
      <c r="G6" s="283" t="s">
        <v>202</v>
      </c>
    </row>
    <row r="7" spans="2:7" s="262" customFormat="1" ht="15.75" thickBot="1">
      <c r="B7" s="284" t="s">
        <v>2</v>
      </c>
      <c r="C7" s="274"/>
      <c r="D7" s="275"/>
      <c r="E7" s="276"/>
      <c r="F7" s="277" t="e">
        <f>SUM(F6:F6)</f>
        <v>#REF!</v>
      </c>
      <c r="G7" s="278"/>
    </row>
    <row r="9" ht="15">
      <c r="F9" s="352"/>
    </row>
    <row r="11" spans="2:5" s="262" customFormat="1" ht="15">
      <c r="B11" s="601" t="s">
        <v>176</v>
      </c>
      <c r="C11" s="601"/>
      <c r="D11" s="601"/>
      <c r="E11" s="601"/>
    </row>
    <row r="12" spans="2:5" ht="15">
      <c r="B12" s="267"/>
      <c r="C12" s="267" t="s">
        <v>177</v>
      </c>
      <c r="D12" s="267" t="s">
        <v>178</v>
      </c>
      <c r="E12" s="267" t="s">
        <v>179</v>
      </c>
    </row>
    <row r="13" spans="2:5" ht="15" customHeight="1">
      <c r="B13" s="602" t="e">
        <f>#REF!</f>
        <v>#REF!</v>
      </c>
      <c r="C13" s="264" t="s">
        <v>184</v>
      </c>
      <c r="D13" s="265" t="s">
        <v>204</v>
      </c>
      <c r="E13" s="264">
        <v>1</v>
      </c>
    </row>
    <row r="14" spans="2:5" ht="15">
      <c r="B14" s="602"/>
      <c r="C14" s="264" t="s">
        <v>186</v>
      </c>
      <c r="D14" s="261" t="s">
        <v>205</v>
      </c>
      <c r="E14" s="264">
        <v>1</v>
      </c>
    </row>
    <row r="15" spans="2:5" ht="15">
      <c r="B15" s="602"/>
      <c r="C15" s="264" t="s">
        <v>186</v>
      </c>
      <c r="D15" s="261" t="s">
        <v>210</v>
      </c>
      <c r="E15" s="268">
        <v>1</v>
      </c>
    </row>
  </sheetData>
  <sheetProtection/>
  <mergeCells count="35">
    <mergeCell ref="AO3:AV3"/>
    <mergeCell ref="AW3:BD3"/>
    <mergeCell ref="B2:G2"/>
    <mergeCell ref="A3:H3"/>
    <mergeCell ref="I3:P3"/>
    <mergeCell ref="Q3:X3"/>
    <mergeCell ref="Y3:AF3"/>
    <mergeCell ref="AG3:AN3"/>
    <mergeCell ref="BE3:BL3"/>
    <mergeCell ref="FM3:FT3"/>
    <mergeCell ref="FU3:GB3"/>
    <mergeCell ref="HY3:IF3"/>
    <mergeCell ref="CS3:CZ3"/>
    <mergeCell ref="DA3:DH3"/>
    <mergeCell ref="DI3:DP3"/>
    <mergeCell ref="DQ3:DX3"/>
    <mergeCell ref="DY3:EF3"/>
    <mergeCell ref="HQ3:HX3"/>
    <mergeCell ref="IG3:IN3"/>
    <mergeCell ref="IO3:IV3"/>
    <mergeCell ref="GC3:GJ3"/>
    <mergeCell ref="GK3:GR3"/>
    <mergeCell ref="GS3:GZ3"/>
    <mergeCell ref="HA3:HH3"/>
    <mergeCell ref="HI3:HP3"/>
    <mergeCell ref="B11:E11"/>
    <mergeCell ref="B13:B15"/>
    <mergeCell ref="EG3:EN3"/>
    <mergeCell ref="EO3:EV3"/>
    <mergeCell ref="EW3:FD3"/>
    <mergeCell ref="FE3:FL3"/>
    <mergeCell ref="BM3:BT3"/>
    <mergeCell ref="BU3:CB3"/>
    <mergeCell ref="CC3:CJ3"/>
    <mergeCell ref="CK3:CR3"/>
  </mergeCells>
  <printOptions/>
  <pageMargins left="0.3937007874015748" right="0.3937007874015748" top="0.7480314960629921" bottom="0.7480314960629921" header="0.31496062992125984" footer="0.31496062992125984"/>
  <pageSetup orientation="landscape" scale="80" r:id="rId1"/>
</worksheet>
</file>

<file path=xl/worksheets/sheet14.xml><?xml version="1.0" encoding="utf-8"?>
<worksheet xmlns="http://schemas.openxmlformats.org/spreadsheetml/2006/main" xmlns:r="http://schemas.openxmlformats.org/officeDocument/2006/relationships">
  <dimension ref="B2:I21"/>
  <sheetViews>
    <sheetView zoomScale="80" zoomScaleNormal="80" zoomScalePageLayoutView="0" workbookViewId="0" topLeftCell="A1">
      <selection activeCell="F8" sqref="F8"/>
    </sheetView>
  </sheetViews>
  <sheetFormatPr defaultColWidth="11.57421875" defaultRowHeight="15"/>
  <cols>
    <col min="1" max="1" width="11.57421875" style="111" customWidth="1"/>
    <col min="2" max="2" width="35.00390625" style="111" customWidth="1"/>
    <col min="3" max="3" width="19.8515625" style="111" customWidth="1"/>
    <col min="4" max="4" width="13.421875" style="111" customWidth="1"/>
    <col min="5" max="5" width="12.421875" style="111" customWidth="1"/>
    <col min="6" max="8" width="21.00390625" style="382" customWidth="1"/>
    <col min="9" max="9" width="102.421875" style="111" customWidth="1"/>
    <col min="10" max="16384" width="11.57421875" style="111" customWidth="1"/>
  </cols>
  <sheetData>
    <row r="2" spans="2:9" s="381" customFormat="1" ht="23.25" customHeight="1">
      <c r="B2" s="604" t="s">
        <v>13</v>
      </c>
      <c r="C2" s="604"/>
      <c r="D2" s="604"/>
      <c r="E2" s="604"/>
      <c r="F2" s="604"/>
      <c r="G2" s="604"/>
      <c r="H2" s="604"/>
      <c r="I2" s="604"/>
    </row>
    <row r="3" spans="2:9" s="381" customFormat="1" ht="36" customHeight="1">
      <c r="B3" s="604" t="s">
        <v>270</v>
      </c>
      <c r="C3" s="604"/>
      <c r="D3" s="604"/>
      <c r="E3" s="604"/>
      <c r="F3" s="604"/>
      <c r="G3" s="604"/>
      <c r="H3" s="604"/>
      <c r="I3" s="604"/>
    </row>
    <row r="4" ht="14.25" thickBot="1"/>
    <row r="5" spans="2:9" s="388" customFormat="1" ht="32.25" customHeight="1" thickBot="1">
      <c r="B5" s="383" t="s">
        <v>70</v>
      </c>
      <c r="C5" s="384" t="s">
        <v>65</v>
      </c>
      <c r="D5" s="385" t="s">
        <v>54</v>
      </c>
      <c r="E5" s="386" t="s">
        <v>67</v>
      </c>
      <c r="F5" s="413" t="s">
        <v>146</v>
      </c>
      <c r="G5" s="414" t="s">
        <v>135</v>
      </c>
      <c r="H5" s="415" t="s">
        <v>63</v>
      </c>
      <c r="I5" s="387" t="s">
        <v>66</v>
      </c>
    </row>
    <row r="6" spans="2:9" ht="13.5">
      <c r="B6" s="605" t="s">
        <v>7</v>
      </c>
      <c r="C6" s="606"/>
      <c r="D6" s="606"/>
      <c r="E6" s="607"/>
      <c r="F6" s="389">
        <f>SUM(F7:F7)</f>
        <v>0</v>
      </c>
      <c r="G6" s="405">
        <f>SUM(G7:G7)</f>
        <v>0</v>
      </c>
      <c r="H6" s="408">
        <v>1</v>
      </c>
      <c r="I6" s="390"/>
    </row>
    <row r="7" spans="2:9" ht="77.25" customHeight="1">
      <c r="B7" s="412" t="s">
        <v>234</v>
      </c>
      <c r="C7" s="401">
        <v>190281000</v>
      </c>
      <c r="D7" s="402">
        <v>1</v>
      </c>
      <c r="E7" s="406" t="s">
        <v>271</v>
      </c>
      <c r="F7" s="409">
        <v>0</v>
      </c>
      <c r="G7" s="403">
        <v>0</v>
      </c>
      <c r="H7" s="410">
        <v>1</v>
      </c>
      <c r="I7" s="407" t="s">
        <v>272</v>
      </c>
    </row>
    <row r="8" spans="2:9" ht="14.25" thickBot="1">
      <c r="B8" s="391" t="s">
        <v>46</v>
      </c>
      <c r="C8" s="392"/>
      <c r="D8" s="393"/>
      <c r="E8" s="394"/>
      <c r="F8" s="395">
        <f>+F6</f>
        <v>0</v>
      </c>
      <c r="G8" s="404">
        <v>0</v>
      </c>
      <c r="H8" s="411">
        <v>1</v>
      </c>
      <c r="I8" s="396"/>
    </row>
    <row r="9" spans="6:8" ht="13.5">
      <c r="F9" s="397"/>
      <c r="G9" s="397"/>
      <c r="H9" s="397"/>
    </row>
    <row r="10" spans="6:8" ht="13.5">
      <c r="F10" s="398"/>
      <c r="G10" s="398"/>
      <c r="H10" s="398"/>
    </row>
    <row r="11" spans="6:8" ht="13.5">
      <c r="F11" s="397"/>
      <c r="G11" s="397"/>
      <c r="H11" s="397"/>
    </row>
    <row r="12" spans="6:8" ht="13.5">
      <c r="F12" s="397"/>
      <c r="G12" s="397"/>
      <c r="H12" s="397"/>
    </row>
    <row r="16" spans="6:8" ht="13.5">
      <c r="F16" s="397"/>
      <c r="G16" s="397"/>
      <c r="H16" s="397"/>
    </row>
    <row r="17" spans="6:8" ht="13.5">
      <c r="F17" s="397"/>
      <c r="G17" s="397"/>
      <c r="H17" s="397"/>
    </row>
    <row r="19" spans="6:8" ht="13.5">
      <c r="F19" s="399"/>
      <c r="G19" s="399"/>
      <c r="H19" s="399"/>
    </row>
    <row r="21" spans="2:9" s="400" customFormat="1" ht="13.5">
      <c r="B21" s="111"/>
      <c r="C21" s="111"/>
      <c r="D21" s="111"/>
      <c r="E21" s="111"/>
      <c r="F21" s="399"/>
      <c r="G21" s="399"/>
      <c r="H21" s="399"/>
      <c r="I21" s="111"/>
    </row>
  </sheetData>
  <sheetProtection/>
  <mergeCells count="3">
    <mergeCell ref="B2:I2"/>
    <mergeCell ref="B3:I3"/>
    <mergeCell ref="B6:E6"/>
  </mergeCells>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B2:O12"/>
  <sheetViews>
    <sheetView zoomScalePageLayoutView="0" workbookViewId="0" topLeftCell="A1">
      <selection activeCell="F10" sqref="F10"/>
    </sheetView>
  </sheetViews>
  <sheetFormatPr defaultColWidth="13.140625" defaultRowHeight="15"/>
  <cols>
    <col min="1" max="1" width="13.140625" style="259" customWidth="1"/>
    <col min="2" max="5" width="17.28125" style="259" customWidth="1"/>
    <col min="6" max="6" width="15.28125" style="259" customWidth="1"/>
    <col min="7" max="7" width="77.140625" style="259" customWidth="1"/>
    <col min="8" max="16384" width="13.140625" style="259" customWidth="1"/>
  </cols>
  <sheetData>
    <row r="2" spans="2:15" ht="15">
      <c r="B2" s="597" t="s">
        <v>13</v>
      </c>
      <c r="C2" s="597"/>
      <c r="D2" s="597"/>
      <c r="E2" s="597"/>
      <c r="F2" s="597"/>
      <c r="G2" s="597"/>
      <c r="H2" s="258"/>
      <c r="I2" s="258"/>
      <c r="K2" s="257"/>
      <c r="L2" s="257"/>
      <c r="M2" s="260"/>
      <c r="O2" s="257"/>
    </row>
    <row r="3" spans="2:15" ht="15">
      <c r="B3" s="597" t="s">
        <v>246</v>
      </c>
      <c r="C3" s="597"/>
      <c r="D3" s="597"/>
      <c r="E3" s="597"/>
      <c r="F3" s="597"/>
      <c r="G3" s="597"/>
      <c r="H3" s="258"/>
      <c r="I3" s="258"/>
      <c r="K3" s="257"/>
      <c r="L3" s="257"/>
      <c r="M3" s="260"/>
      <c r="O3" s="257"/>
    </row>
    <row r="4" ht="15.75" thickBot="1"/>
    <row r="5" spans="2:7" ht="15.75" thickBot="1">
      <c r="B5" s="269" t="s">
        <v>173</v>
      </c>
      <c r="C5" s="270" t="s">
        <v>65</v>
      </c>
      <c r="D5" s="271" t="s">
        <v>54</v>
      </c>
      <c r="E5" s="271" t="s">
        <v>174</v>
      </c>
      <c r="F5" s="272" t="s">
        <v>48</v>
      </c>
      <c r="G5" s="273" t="s">
        <v>66</v>
      </c>
    </row>
    <row r="6" spans="2:7" ht="46.5">
      <c r="B6" s="231" t="s">
        <v>192</v>
      </c>
      <c r="C6" s="315">
        <v>500000</v>
      </c>
      <c r="D6" s="313">
        <f>5*2*10</f>
        <v>100</v>
      </c>
      <c r="E6" s="339" t="s">
        <v>57</v>
      </c>
      <c r="F6" s="290">
        <f>+D6*C6</f>
        <v>50000000</v>
      </c>
      <c r="G6" s="255" t="s">
        <v>247</v>
      </c>
    </row>
    <row r="7" spans="2:7" ht="46.5" thickBot="1">
      <c r="B7" s="340" t="s">
        <v>56</v>
      </c>
      <c r="C7" s="341">
        <v>766500</v>
      </c>
      <c r="D7" s="342">
        <f>4*2*5</f>
        <v>40</v>
      </c>
      <c r="E7" s="343" t="s">
        <v>60</v>
      </c>
      <c r="F7" s="344">
        <f>+D7*C7</f>
        <v>30660000</v>
      </c>
      <c r="G7" s="345" t="s">
        <v>248</v>
      </c>
    </row>
    <row r="8" spans="2:7" s="262" customFormat="1" ht="15.75" thickBot="1">
      <c r="B8" s="346" t="s">
        <v>2</v>
      </c>
      <c r="C8" s="250"/>
      <c r="D8" s="347"/>
      <c r="E8" s="348"/>
      <c r="F8" s="253">
        <f>SUM(F6:F7)</f>
        <v>80660000</v>
      </c>
      <c r="G8" s="349"/>
    </row>
    <row r="10" ht="15">
      <c r="F10" s="352"/>
    </row>
    <row r="12" ht="15">
      <c r="C12" s="266"/>
    </row>
  </sheetData>
  <sheetProtection/>
  <mergeCells count="2">
    <mergeCell ref="B2:G2"/>
    <mergeCell ref="B3:G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C121"/>
  <sheetViews>
    <sheetView tabSelected="1" zoomScale="60" zoomScaleNormal="60" zoomScalePageLayoutView="0" workbookViewId="0" topLeftCell="A1">
      <selection activeCell="N14" sqref="N14"/>
    </sheetView>
  </sheetViews>
  <sheetFormatPr defaultColWidth="11.421875" defaultRowHeight="15" outlineLevelCol="1"/>
  <cols>
    <col min="1" max="1" width="3.00390625" style="4" customWidth="1"/>
    <col min="2" max="2" width="42.00390625" style="4" customWidth="1"/>
    <col min="3" max="13" width="18.7109375" style="3" customWidth="1" outlineLevel="1"/>
    <col min="14" max="14" width="18.7109375" style="3" customWidth="1"/>
    <col min="15" max="15" width="12.7109375" style="449" customWidth="1"/>
    <col min="16" max="19" width="22.140625" style="3" customWidth="1" outlineLevel="1"/>
    <col min="20" max="20" width="22.140625" style="456" customWidth="1" outlineLevel="1"/>
    <col min="21" max="21" width="22.140625" style="3" customWidth="1"/>
    <col min="22" max="22" width="18.7109375" style="3" customWidth="1" outlineLevel="1"/>
    <col min="23" max="185" width="11.421875" style="4" customWidth="1"/>
    <col min="186" max="16384" width="11.421875" style="66" customWidth="1"/>
  </cols>
  <sheetData>
    <row r="1" spans="1:185" s="455" customFormat="1" ht="15">
      <c r="A1" s="450"/>
      <c r="B1" s="450"/>
      <c r="C1" s="503"/>
      <c r="D1" s="503"/>
      <c r="E1" s="503"/>
      <c r="F1" s="503"/>
      <c r="G1" s="503"/>
      <c r="H1" s="503"/>
      <c r="I1" s="503"/>
      <c r="J1" s="503"/>
      <c r="K1" s="503"/>
      <c r="L1" s="503"/>
      <c r="M1" s="503"/>
      <c r="N1" s="503"/>
      <c r="O1" s="450"/>
      <c r="P1" s="3"/>
      <c r="Q1" s="3"/>
      <c r="R1" s="3"/>
      <c r="S1" s="3"/>
      <c r="T1" s="456"/>
      <c r="U1" s="3"/>
      <c r="V1" s="3"/>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0"/>
      <c r="CB1" s="450"/>
      <c r="CC1" s="450"/>
      <c r="CD1" s="450"/>
      <c r="CE1" s="450"/>
      <c r="CF1" s="450"/>
      <c r="CG1" s="450"/>
      <c r="CH1" s="450"/>
      <c r="CI1" s="450"/>
      <c r="CJ1" s="450"/>
      <c r="CK1" s="450"/>
      <c r="CL1" s="450"/>
      <c r="CM1" s="450"/>
      <c r="CN1" s="450"/>
      <c r="CO1" s="450"/>
      <c r="CP1" s="450"/>
      <c r="CQ1" s="450"/>
      <c r="CR1" s="450"/>
      <c r="CS1" s="450"/>
      <c r="CT1" s="450"/>
      <c r="CU1" s="450"/>
      <c r="CV1" s="450"/>
      <c r="CW1" s="450"/>
      <c r="CX1" s="450"/>
      <c r="CY1" s="450"/>
      <c r="CZ1" s="450"/>
      <c r="DA1" s="450"/>
      <c r="DB1" s="450"/>
      <c r="DC1" s="450"/>
      <c r="DD1" s="450"/>
      <c r="DE1" s="450"/>
      <c r="DF1" s="450"/>
      <c r="DG1" s="450"/>
      <c r="DH1" s="450"/>
      <c r="DI1" s="450"/>
      <c r="DJ1" s="450"/>
      <c r="DK1" s="450"/>
      <c r="DL1" s="450"/>
      <c r="DM1" s="450"/>
      <c r="DN1" s="450"/>
      <c r="DO1" s="450"/>
      <c r="DP1" s="450"/>
      <c r="DQ1" s="450"/>
      <c r="DR1" s="450"/>
      <c r="DS1" s="450"/>
      <c r="DT1" s="450"/>
      <c r="DU1" s="450"/>
      <c r="DV1" s="450"/>
      <c r="DW1" s="450"/>
      <c r="DX1" s="450"/>
      <c r="DY1" s="450"/>
      <c r="DZ1" s="450"/>
      <c r="EA1" s="450"/>
      <c r="EB1" s="450"/>
      <c r="EC1" s="450"/>
      <c r="ED1" s="450"/>
      <c r="EE1" s="450"/>
      <c r="EF1" s="450"/>
      <c r="EG1" s="450"/>
      <c r="EH1" s="450"/>
      <c r="EI1" s="450"/>
      <c r="EJ1" s="450"/>
      <c r="EK1" s="450"/>
      <c r="EL1" s="450"/>
      <c r="EM1" s="450"/>
      <c r="EN1" s="450"/>
      <c r="EO1" s="450"/>
      <c r="EP1" s="450"/>
      <c r="EQ1" s="450"/>
      <c r="ER1" s="450"/>
      <c r="ES1" s="450"/>
      <c r="ET1" s="450"/>
      <c r="EU1" s="450"/>
      <c r="EV1" s="450"/>
      <c r="EW1" s="450"/>
      <c r="EX1" s="450"/>
      <c r="EY1" s="450"/>
      <c r="EZ1" s="450"/>
      <c r="FA1" s="450"/>
      <c r="FB1" s="450"/>
      <c r="FC1" s="450"/>
      <c r="FD1" s="450"/>
      <c r="FE1" s="450"/>
      <c r="FF1" s="450"/>
      <c r="FG1" s="450"/>
      <c r="FH1" s="450"/>
      <c r="FI1" s="450"/>
      <c r="FJ1" s="450"/>
      <c r="FK1" s="450"/>
      <c r="FL1" s="450"/>
      <c r="FM1" s="450"/>
      <c r="FN1" s="450"/>
      <c r="FO1" s="450"/>
      <c r="FP1" s="450"/>
      <c r="FQ1" s="450"/>
      <c r="FR1" s="450"/>
      <c r="FS1" s="450"/>
      <c r="FT1" s="450"/>
      <c r="FU1" s="450"/>
      <c r="FV1" s="450"/>
      <c r="FW1" s="450"/>
      <c r="FX1" s="450"/>
      <c r="FY1" s="450"/>
      <c r="FZ1" s="450"/>
      <c r="GA1" s="450"/>
      <c r="GB1" s="450"/>
      <c r="GC1" s="450"/>
    </row>
    <row r="2" spans="1:185" s="455" customFormat="1" ht="15">
      <c r="A2" s="450"/>
      <c r="B2" s="542" t="s">
        <v>11</v>
      </c>
      <c r="C2" s="542"/>
      <c r="D2" s="542"/>
      <c r="E2" s="542"/>
      <c r="F2" s="542"/>
      <c r="G2" s="542"/>
      <c r="H2" s="542"/>
      <c r="I2" s="542"/>
      <c r="J2" s="542"/>
      <c r="K2" s="542"/>
      <c r="L2" s="542"/>
      <c r="M2" s="542"/>
      <c r="N2" s="542"/>
      <c r="O2" s="542"/>
      <c r="P2" s="542"/>
      <c r="Q2" s="542"/>
      <c r="R2" s="542"/>
      <c r="S2" s="542"/>
      <c r="T2" s="542"/>
      <c r="U2" s="542"/>
      <c r="V2" s="542"/>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c r="CF2" s="450"/>
      <c r="CG2" s="450"/>
      <c r="CH2" s="450"/>
      <c r="CI2" s="450"/>
      <c r="CJ2" s="450"/>
      <c r="CK2" s="450"/>
      <c r="CL2" s="450"/>
      <c r="CM2" s="450"/>
      <c r="CN2" s="450"/>
      <c r="CO2" s="450"/>
      <c r="CP2" s="450"/>
      <c r="CQ2" s="450"/>
      <c r="CR2" s="450"/>
      <c r="CS2" s="450"/>
      <c r="CT2" s="450"/>
      <c r="CU2" s="450"/>
      <c r="CV2" s="450"/>
      <c r="CW2" s="450"/>
      <c r="CX2" s="450"/>
      <c r="CY2" s="450"/>
      <c r="CZ2" s="450"/>
      <c r="DA2" s="450"/>
      <c r="DB2" s="450"/>
      <c r="DC2" s="450"/>
      <c r="DD2" s="450"/>
      <c r="DE2" s="450"/>
      <c r="DF2" s="450"/>
      <c r="DG2" s="450"/>
      <c r="DH2" s="450"/>
      <c r="DI2" s="450"/>
      <c r="DJ2" s="450"/>
      <c r="DK2" s="450"/>
      <c r="DL2" s="450"/>
      <c r="DM2" s="450"/>
      <c r="DN2" s="450"/>
      <c r="DO2" s="450"/>
      <c r="DP2" s="450"/>
      <c r="DQ2" s="450"/>
      <c r="DR2" s="450"/>
      <c r="DS2" s="450"/>
      <c r="DT2" s="450"/>
      <c r="DU2" s="450"/>
      <c r="DV2" s="450"/>
      <c r="DW2" s="450"/>
      <c r="DX2" s="450"/>
      <c r="DY2" s="450"/>
      <c r="DZ2" s="450"/>
      <c r="EA2" s="450"/>
      <c r="EB2" s="450"/>
      <c r="EC2" s="450"/>
      <c r="ED2" s="450"/>
      <c r="EE2" s="450"/>
      <c r="EF2" s="450"/>
      <c r="EG2" s="450"/>
      <c r="EH2" s="450"/>
      <c r="EI2" s="450"/>
      <c r="EJ2" s="450"/>
      <c r="EK2" s="450"/>
      <c r="EL2" s="450"/>
      <c r="EM2" s="450"/>
      <c r="EN2" s="450"/>
      <c r="EO2" s="450"/>
      <c r="EP2" s="450"/>
      <c r="EQ2" s="450"/>
      <c r="ER2" s="450"/>
      <c r="ES2" s="450"/>
      <c r="ET2" s="450"/>
      <c r="EU2" s="450"/>
      <c r="EV2" s="450"/>
      <c r="EW2" s="450"/>
      <c r="EX2" s="450"/>
      <c r="EY2" s="450"/>
      <c r="EZ2" s="450"/>
      <c r="FA2" s="450"/>
      <c r="FB2" s="450"/>
      <c r="FC2" s="450"/>
      <c r="FD2" s="450"/>
      <c r="FE2" s="450"/>
      <c r="FF2" s="450"/>
      <c r="FG2" s="450"/>
      <c r="FH2" s="450"/>
      <c r="FI2" s="450"/>
      <c r="FJ2" s="450"/>
      <c r="FK2" s="450"/>
      <c r="FL2" s="450"/>
      <c r="FM2" s="450"/>
      <c r="FN2" s="450"/>
      <c r="FO2" s="450"/>
      <c r="FP2" s="450"/>
      <c r="FQ2" s="450"/>
      <c r="FR2" s="450"/>
      <c r="FS2" s="450"/>
      <c r="FT2" s="450"/>
      <c r="FU2" s="450"/>
      <c r="FV2" s="450"/>
      <c r="FW2" s="450"/>
      <c r="FX2" s="450"/>
      <c r="FY2" s="450"/>
      <c r="FZ2" s="450"/>
      <c r="GA2" s="450"/>
      <c r="GB2" s="450"/>
      <c r="GC2" s="450"/>
    </row>
    <row r="3" spans="1:185" s="455" customFormat="1" ht="15">
      <c r="A3" s="450"/>
      <c r="B3" s="542" t="s">
        <v>12</v>
      </c>
      <c r="C3" s="542"/>
      <c r="D3" s="542"/>
      <c r="E3" s="542"/>
      <c r="F3" s="542"/>
      <c r="G3" s="542"/>
      <c r="H3" s="542"/>
      <c r="I3" s="542"/>
      <c r="J3" s="542"/>
      <c r="K3" s="542"/>
      <c r="L3" s="542"/>
      <c r="M3" s="542"/>
      <c r="N3" s="542"/>
      <c r="O3" s="542"/>
      <c r="P3" s="542"/>
      <c r="Q3" s="542"/>
      <c r="R3" s="542"/>
      <c r="S3" s="542"/>
      <c r="T3" s="542"/>
      <c r="U3" s="542"/>
      <c r="V3" s="542"/>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450"/>
      <c r="AW3" s="450"/>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c r="BY3" s="450"/>
      <c r="BZ3" s="450"/>
      <c r="CA3" s="450"/>
      <c r="CB3" s="450"/>
      <c r="CC3" s="450"/>
      <c r="CD3" s="450"/>
      <c r="CE3" s="450"/>
      <c r="CF3" s="450"/>
      <c r="CG3" s="450"/>
      <c r="CH3" s="450"/>
      <c r="CI3" s="450"/>
      <c r="CJ3" s="450"/>
      <c r="CK3" s="450"/>
      <c r="CL3" s="450"/>
      <c r="CM3" s="450"/>
      <c r="CN3" s="450"/>
      <c r="CO3" s="450"/>
      <c r="CP3" s="450"/>
      <c r="CQ3" s="450"/>
      <c r="CR3" s="450"/>
      <c r="CS3" s="450"/>
      <c r="CT3" s="450"/>
      <c r="CU3" s="450"/>
      <c r="CV3" s="450"/>
      <c r="CW3" s="450"/>
      <c r="CX3" s="450"/>
      <c r="CY3" s="450"/>
      <c r="CZ3" s="450"/>
      <c r="DA3" s="450"/>
      <c r="DB3" s="450"/>
      <c r="DC3" s="450"/>
      <c r="DD3" s="450"/>
      <c r="DE3" s="450"/>
      <c r="DF3" s="450"/>
      <c r="DG3" s="450"/>
      <c r="DH3" s="450"/>
      <c r="DI3" s="450"/>
      <c r="DJ3" s="450"/>
      <c r="DK3" s="450"/>
      <c r="DL3" s="450"/>
      <c r="DM3" s="450"/>
      <c r="DN3" s="450"/>
      <c r="DO3" s="450"/>
      <c r="DP3" s="450"/>
      <c r="DQ3" s="450"/>
      <c r="DR3" s="450"/>
      <c r="DS3" s="450"/>
      <c r="DT3" s="450"/>
      <c r="DU3" s="450"/>
      <c r="DV3" s="450"/>
      <c r="DW3" s="450"/>
      <c r="DX3" s="450"/>
      <c r="DY3" s="450"/>
      <c r="DZ3" s="450"/>
      <c r="EA3" s="450"/>
      <c r="EB3" s="450"/>
      <c r="EC3" s="450"/>
      <c r="ED3" s="450"/>
      <c r="EE3" s="450"/>
      <c r="EF3" s="450"/>
      <c r="EG3" s="450"/>
      <c r="EH3" s="450"/>
      <c r="EI3" s="450"/>
      <c r="EJ3" s="450"/>
      <c r="EK3" s="450"/>
      <c r="EL3" s="450"/>
      <c r="EM3" s="450"/>
      <c r="EN3" s="450"/>
      <c r="EO3" s="450"/>
      <c r="EP3" s="450"/>
      <c r="EQ3" s="450"/>
      <c r="ER3" s="450"/>
      <c r="ES3" s="450"/>
      <c r="ET3" s="450"/>
      <c r="EU3" s="450"/>
      <c r="EV3" s="450"/>
      <c r="EW3" s="450"/>
      <c r="EX3" s="450"/>
      <c r="EY3" s="450"/>
      <c r="EZ3" s="450"/>
      <c r="FA3" s="450"/>
      <c r="FB3" s="450"/>
      <c r="FC3" s="450"/>
      <c r="FD3" s="450"/>
      <c r="FE3" s="450"/>
      <c r="FF3" s="450"/>
      <c r="FG3" s="450"/>
      <c r="FH3" s="450"/>
      <c r="FI3" s="450"/>
      <c r="FJ3" s="450"/>
      <c r="FK3" s="450"/>
      <c r="FL3" s="450"/>
      <c r="FM3" s="450"/>
      <c r="FN3" s="450"/>
      <c r="FO3" s="450"/>
      <c r="FP3" s="450"/>
      <c r="FQ3" s="450"/>
      <c r="FR3" s="450"/>
      <c r="FS3" s="450"/>
      <c r="FT3" s="450"/>
      <c r="FU3" s="450"/>
      <c r="FV3" s="450"/>
      <c r="FW3" s="450"/>
      <c r="FX3" s="450"/>
      <c r="FY3" s="450"/>
      <c r="FZ3" s="450"/>
      <c r="GA3" s="450"/>
      <c r="GB3" s="450"/>
      <c r="GC3" s="450"/>
    </row>
    <row r="4" spans="1:185" s="455" customFormat="1" ht="15">
      <c r="A4" s="450"/>
      <c r="B4" s="542" t="s">
        <v>277</v>
      </c>
      <c r="C4" s="542"/>
      <c r="D4" s="542"/>
      <c r="E4" s="542"/>
      <c r="F4" s="542"/>
      <c r="G4" s="542"/>
      <c r="H4" s="542"/>
      <c r="I4" s="542"/>
      <c r="J4" s="542"/>
      <c r="K4" s="542"/>
      <c r="L4" s="542"/>
      <c r="M4" s="542"/>
      <c r="N4" s="542"/>
      <c r="O4" s="542"/>
      <c r="P4" s="542"/>
      <c r="Q4" s="542"/>
      <c r="R4" s="542"/>
      <c r="S4" s="542"/>
      <c r="T4" s="542"/>
      <c r="U4" s="542"/>
      <c r="V4" s="542"/>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0"/>
      <c r="CN4" s="450"/>
      <c r="CO4" s="450"/>
      <c r="CP4" s="450"/>
      <c r="CQ4" s="450"/>
      <c r="CR4" s="450"/>
      <c r="CS4" s="450"/>
      <c r="CT4" s="450"/>
      <c r="CU4" s="450"/>
      <c r="CV4" s="450"/>
      <c r="CW4" s="450"/>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0"/>
      <c r="EI4" s="450"/>
      <c r="EJ4" s="450"/>
      <c r="EK4" s="450"/>
      <c r="EL4" s="450"/>
      <c r="EM4" s="450"/>
      <c r="EN4" s="450"/>
      <c r="EO4" s="450"/>
      <c r="EP4" s="450"/>
      <c r="EQ4" s="450"/>
      <c r="ER4" s="450"/>
      <c r="ES4" s="450"/>
      <c r="ET4" s="450"/>
      <c r="EU4" s="450"/>
      <c r="EV4" s="450"/>
      <c r="EW4" s="450"/>
      <c r="EX4" s="450"/>
      <c r="EY4" s="450"/>
      <c r="EZ4" s="450"/>
      <c r="FA4" s="450"/>
      <c r="FB4" s="450"/>
      <c r="FC4" s="450"/>
      <c r="FD4" s="450"/>
      <c r="FE4" s="450"/>
      <c r="FF4" s="450"/>
      <c r="FG4" s="450"/>
      <c r="FH4" s="450"/>
      <c r="FI4" s="450"/>
      <c r="FJ4" s="450"/>
      <c r="FK4" s="450"/>
      <c r="FL4" s="450"/>
      <c r="FM4" s="450"/>
      <c r="FN4" s="450"/>
      <c r="FO4" s="450"/>
      <c r="FP4" s="450"/>
      <c r="FQ4" s="450"/>
      <c r="FR4" s="450"/>
      <c r="FS4" s="450"/>
      <c r="FT4" s="450"/>
      <c r="FU4" s="450"/>
      <c r="FV4" s="450"/>
      <c r="FW4" s="450"/>
      <c r="FX4" s="450"/>
      <c r="FY4" s="450"/>
      <c r="FZ4" s="450"/>
      <c r="GA4" s="450"/>
      <c r="GB4" s="450"/>
      <c r="GC4" s="450"/>
    </row>
    <row r="5" spans="1:185" s="455" customFormat="1" ht="15">
      <c r="A5" s="450"/>
      <c r="B5" s="542" t="s">
        <v>13</v>
      </c>
      <c r="C5" s="542"/>
      <c r="D5" s="542"/>
      <c r="E5" s="542"/>
      <c r="F5" s="542"/>
      <c r="G5" s="542"/>
      <c r="H5" s="542"/>
      <c r="I5" s="542"/>
      <c r="J5" s="542"/>
      <c r="K5" s="542"/>
      <c r="L5" s="542"/>
      <c r="M5" s="542"/>
      <c r="N5" s="542"/>
      <c r="O5" s="542"/>
      <c r="P5" s="542"/>
      <c r="Q5" s="542"/>
      <c r="R5" s="542"/>
      <c r="S5" s="542"/>
      <c r="T5" s="542"/>
      <c r="U5" s="542"/>
      <c r="V5" s="542"/>
      <c r="W5" s="450"/>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450"/>
      <c r="BH5" s="450"/>
      <c r="BI5" s="450"/>
      <c r="BJ5" s="450"/>
      <c r="BK5" s="450"/>
      <c r="BL5" s="450"/>
      <c r="BM5" s="450"/>
      <c r="BN5" s="450"/>
      <c r="BO5" s="450"/>
      <c r="BP5" s="450"/>
      <c r="BQ5" s="450"/>
      <c r="BR5" s="450"/>
      <c r="BS5" s="450"/>
      <c r="BT5" s="450"/>
      <c r="BU5" s="450"/>
      <c r="BV5" s="450"/>
      <c r="BW5" s="450"/>
      <c r="BX5" s="450"/>
      <c r="BY5" s="450"/>
      <c r="BZ5" s="450"/>
      <c r="CA5" s="450"/>
      <c r="CB5" s="450"/>
      <c r="CC5" s="450"/>
      <c r="CD5" s="450"/>
      <c r="CE5" s="450"/>
      <c r="CF5" s="450"/>
      <c r="CG5" s="450"/>
      <c r="CH5" s="450"/>
      <c r="CI5" s="450"/>
      <c r="CJ5" s="450"/>
      <c r="CK5" s="450"/>
      <c r="CL5" s="450"/>
      <c r="CM5" s="450"/>
      <c r="CN5" s="450"/>
      <c r="CO5" s="450"/>
      <c r="CP5" s="450"/>
      <c r="CQ5" s="450"/>
      <c r="CR5" s="450"/>
      <c r="CS5" s="450"/>
      <c r="CT5" s="450"/>
      <c r="CU5" s="450"/>
      <c r="CV5" s="450"/>
      <c r="CW5" s="450"/>
      <c r="CX5" s="450"/>
      <c r="CY5" s="450"/>
      <c r="CZ5" s="450"/>
      <c r="DA5" s="450"/>
      <c r="DB5" s="450"/>
      <c r="DC5" s="450"/>
      <c r="DD5" s="450"/>
      <c r="DE5" s="450"/>
      <c r="DF5" s="450"/>
      <c r="DG5" s="450"/>
      <c r="DH5" s="450"/>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0"/>
      <c r="FK5" s="450"/>
      <c r="FL5" s="450"/>
      <c r="FM5" s="450"/>
      <c r="FN5" s="450"/>
      <c r="FO5" s="450"/>
      <c r="FP5" s="450"/>
      <c r="FQ5" s="450"/>
      <c r="FR5" s="450"/>
      <c r="FS5" s="450"/>
      <c r="FT5" s="450"/>
      <c r="FU5" s="450"/>
      <c r="FV5" s="450"/>
      <c r="FW5" s="450"/>
      <c r="FX5" s="450"/>
      <c r="FY5" s="450"/>
      <c r="FZ5" s="450"/>
      <c r="GA5" s="450"/>
      <c r="GB5" s="450"/>
      <c r="GC5" s="450"/>
    </row>
    <row r="6" spans="1:185" s="455" customFormat="1" ht="15">
      <c r="A6" s="450"/>
      <c r="B6" s="542"/>
      <c r="C6" s="543"/>
      <c r="D6" s="503"/>
      <c r="E6" s="503"/>
      <c r="F6" s="503"/>
      <c r="G6" s="503"/>
      <c r="H6" s="503"/>
      <c r="I6" s="503"/>
      <c r="J6" s="503"/>
      <c r="K6" s="503"/>
      <c r="L6" s="503"/>
      <c r="M6" s="503"/>
      <c r="N6" s="503"/>
      <c r="O6" s="450"/>
      <c r="P6" s="3"/>
      <c r="Q6" s="3"/>
      <c r="R6" s="3"/>
      <c r="S6" s="3"/>
      <c r="T6" s="456"/>
      <c r="U6" s="3"/>
      <c r="V6" s="3"/>
      <c r="W6" s="450"/>
      <c r="X6" s="450"/>
      <c r="Y6" s="450"/>
      <c r="Z6" s="450"/>
      <c r="AA6" s="450"/>
      <c r="AB6" s="450"/>
      <c r="AC6" s="450"/>
      <c r="AD6" s="450"/>
      <c r="AE6" s="450"/>
      <c r="AF6" s="450"/>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450"/>
      <c r="BH6" s="450"/>
      <c r="BI6" s="450"/>
      <c r="BJ6" s="450"/>
      <c r="BK6" s="450"/>
      <c r="BL6" s="450"/>
      <c r="BM6" s="450"/>
      <c r="BN6" s="450"/>
      <c r="BO6" s="450"/>
      <c r="BP6" s="450"/>
      <c r="BQ6" s="450"/>
      <c r="BR6" s="450"/>
      <c r="BS6" s="450"/>
      <c r="BT6" s="450"/>
      <c r="BU6" s="450"/>
      <c r="BV6" s="450"/>
      <c r="BW6" s="450"/>
      <c r="BX6" s="450"/>
      <c r="BY6" s="450"/>
      <c r="BZ6" s="450"/>
      <c r="CA6" s="450"/>
      <c r="CB6" s="450"/>
      <c r="CC6" s="450"/>
      <c r="CD6" s="450"/>
      <c r="CE6" s="450"/>
      <c r="CF6" s="450"/>
      <c r="CG6" s="450"/>
      <c r="CH6" s="450"/>
      <c r="CI6" s="450"/>
      <c r="CJ6" s="450"/>
      <c r="CK6" s="450"/>
      <c r="CL6" s="450"/>
      <c r="CM6" s="450"/>
      <c r="CN6" s="450"/>
      <c r="CO6" s="450"/>
      <c r="CP6" s="450"/>
      <c r="CQ6" s="450"/>
      <c r="CR6" s="450"/>
      <c r="CS6" s="450"/>
      <c r="CT6" s="450"/>
      <c r="CU6" s="450"/>
      <c r="CV6" s="450"/>
      <c r="CW6" s="450"/>
      <c r="CX6" s="450"/>
      <c r="CY6" s="450"/>
      <c r="CZ6" s="450"/>
      <c r="DA6" s="450"/>
      <c r="DB6" s="450"/>
      <c r="DC6" s="450"/>
      <c r="DD6" s="450"/>
      <c r="DE6" s="450"/>
      <c r="DF6" s="450"/>
      <c r="DG6" s="450"/>
      <c r="DH6" s="450"/>
      <c r="DI6" s="450"/>
      <c r="DJ6" s="450"/>
      <c r="DK6" s="450"/>
      <c r="DL6" s="450"/>
      <c r="DM6" s="450"/>
      <c r="DN6" s="450"/>
      <c r="DO6" s="450"/>
      <c r="DP6" s="450"/>
      <c r="DQ6" s="450"/>
      <c r="DR6" s="450"/>
      <c r="DS6" s="450"/>
      <c r="DT6" s="450"/>
      <c r="DU6" s="450"/>
      <c r="DV6" s="450"/>
      <c r="DW6" s="450"/>
      <c r="DX6" s="450"/>
      <c r="DY6" s="450"/>
      <c r="DZ6" s="450"/>
      <c r="EA6" s="450"/>
      <c r="EB6" s="450"/>
      <c r="EC6" s="450"/>
      <c r="ED6" s="450"/>
      <c r="EE6" s="450"/>
      <c r="EF6" s="450"/>
      <c r="EG6" s="450"/>
      <c r="EH6" s="450"/>
      <c r="EI6" s="450"/>
      <c r="EJ6" s="450"/>
      <c r="EK6" s="450"/>
      <c r="EL6" s="450"/>
      <c r="EM6" s="450"/>
      <c r="EN6" s="450"/>
      <c r="EO6" s="450"/>
      <c r="EP6" s="450"/>
      <c r="EQ6" s="450"/>
      <c r="ER6" s="450"/>
      <c r="ES6" s="450"/>
      <c r="ET6" s="450"/>
      <c r="EU6" s="450"/>
      <c r="EV6" s="450"/>
      <c r="EW6" s="450"/>
      <c r="EX6" s="450"/>
      <c r="EY6" s="450"/>
      <c r="EZ6" s="450"/>
      <c r="FA6" s="450"/>
      <c r="FB6" s="450"/>
      <c r="FC6" s="450"/>
      <c r="FD6" s="450"/>
      <c r="FE6" s="450"/>
      <c r="FF6" s="450"/>
      <c r="FG6" s="450"/>
      <c r="FH6" s="450"/>
      <c r="FI6" s="450"/>
      <c r="FJ6" s="450"/>
      <c r="FK6" s="450"/>
      <c r="FL6" s="450"/>
      <c r="FM6" s="450"/>
      <c r="FN6" s="450"/>
      <c r="FO6" s="450"/>
      <c r="FP6" s="450"/>
      <c r="FQ6" s="450"/>
      <c r="FR6" s="450"/>
      <c r="FS6" s="450"/>
      <c r="FT6" s="450"/>
      <c r="FU6" s="450"/>
      <c r="FV6" s="450"/>
      <c r="FW6" s="450"/>
      <c r="FX6" s="450"/>
      <c r="FY6" s="450"/>
      <c r="FZ6" s="450"/>
      <c r="GA6" s="450"/>
      <c r="GB6" s="450"/>
      <c r="GC6" s="450"/>
    </row>
    <row r="7" spans="1:185" s="455" customFormat="1" ht="15.75" thickBot="1">
      <c r="A7" s="450"/>
      <c r="B7" s="504"/>
      <c r="C7" s="505"/>
      <c r="D7" s="505"/>
      <c r="E7" s="505"/>
      <c r="F7" s="505"/>
      <c r="G7" s="505"/>
      <c r="H7" s="505"/>
      <c r="I7" s="505"/>
      <c r="J7" s="505"/>
      <c r="K7" s="505"/>
      <c r="L7" s="505"/>
      <c r="M7" s="505"/>
      <c r="N7" s="505"/>
      <c r="O7" s="450"/>
      <c r="P7" s="5"/>
      <c r="Q7" s="5"/>
      <c r="R7" s="5"/>
      <c r="S7" s="5"/>
      <c r="T7" s="509"/>
      <c r="U7" s="5"/>
      <c r="V7" s="5"/>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c r="AZ7" s="450"/>
      <c r="BA7" s="450"/>
      <c r="BB7" s="450"/>
      <c r="BC7" s="450"/>
      <c r="BD7" s="450"/>
      <c r="BE7" s="450"/>
      <c r="BF7" s="450"/>
      <c r="BG7" s="450"/>
      <c r="BH7" s="450"/>
      <c r="BI7" s="450"/>
      <c r="BJ7" s="450"/>
      <c r="BK7" s="450"/>
      <c r="BL7" s="450"/>
      <c r="BM7" s="450"/>
      <c r="BN7" s="450"/>
      <c r="BO7" s="450"/>
      <c r="BP7" s="450"/>
      <c r="BQ7" s="450"/>
      <c r="BR7" s="450"/>
      <c r="BS7" s="450"/>
      <c r="BT7" s="450"/>
      <c r="BU7" s="450"/>
      <c r="BV7" s="450"/>
      <c r="BW7" s="450"/>
      <c r="BX7" s="450"/>
      <c r="BY7" s="450"/>
      <c r="BZ7" s="450"/>
      <c r="CA7" s="450"/>
      <c r="CB7" s="450"/>
      <c r="CC7" s="450"/>
      <c r="CD7" s="450"/>
      <c r="CE7" s="450"/>
      <c r="CF7" s="450"/>
      <c r="CG7" s="450"/>
      <c r="CH7" s="450"/>
      <c r="CI7" s="450"/>
      <c r="CJ7" s="450"/>
      <c r="CK7" s="450"/>
      <c r="CL7" s="450"/>
      <c r="CM7" s="450"/>
      <c r="CN7" s="450"/>
      <c r="CO7" s="450"/>
      <c r="CP7" s="450"/>
      <c r="CQ7" s="450"/>
      <c r="CR7" s="450"/>
      <c r="CS7" s="450"/>
      <c r="CT7" s="450"/>
      <c r="CU7" s="450"/>
      <c r="CV7" s="450"/>
      <c r="CW7" s="450"/>
      <c r="CX7" s="450"/>
      <c r="CY7" s="450"/>
      <c r="CZ7" s="450"/>
      <c r="DA7" s="450"/>
      <c r="DB7" s="450"/>
      <c r="DC7" s="450"/>
      <c r="DD7" s="450"/>
      <c r="DE7" s="450"/>
      <c r="DF7" s="450"/>
      <c r="DG7" s="450"/>
      <c r="DH7" s="450"/>
      <c r="DI7" s="450"/>
      <c r="DJ7" s="450"/>
      <c r="DK7" s="450"/>
      <c r="DL7" s="450"/>
      <c r="DM7" s="450"/>
      <c r="DN7" s="450"/>
      <c r="DO7" s="450"/>
      <c r="DP7" s="450"/>
      <c r="DQ7" s="450"/>
      <c r="DR7" s="450"/>
      <c r="DS7" s="450"/>
      <c r="DT7" s="450"/>
      <c r="DU7" s="450"/>
      <c r="DV7" s="450"/>
      <c r="DW7" s="450"/>
      <c r="DX7" s="450"/>
      <c r="DY7" s="450"/>
      <c r="DZ7" s="450"/>
      <c r="EA7" s="450"/>
      <c r="EB7" s="450"/>
      <c r="EC7" s="450"/>
      <c r="ED7" s="450"/>
      <c r="EE7" s="450"/>
      <c r="EF7" s="450"/>
      <c r="EG7" s="450"/>
      <c r="EH7" s="450"/>
      <c r="EI7" s="450"/>
      <c r="EJ7" s="450"/>
      <c r="EK7" s="450"/>
      <c r="EL7" s="450"/>
      <c r="EM7" s="450"/>
      <c r="EN7" s="450"/>
      <c r="EO7" s="450"/>
      <c r="EP7" s="450"/>
      <c r="EQ7" s="450"/>
      <c r="ER7" s="450"/>
      <c r="ES7" s="450"/>
      <c r="ET7" s="450"/>
      <c r="EU7" s="450"/>
      <c r="EV7" s="450"/>
      <c r="EW7" s="450"/>
      <c r="EX7" s="450"/>
      <c r="EY7" s="450"/>
      <c r="EZ7" s="450"/>
      <c r="FA7" s="450"/>
      <c r="FB7" s="450"/>
      <c r="FC7" s="450"/>
      <c r="FD7" s="450"/>
      <c r="FE7" s="450"/>
      <c r="FF7" s="450"/>
      <c r="FG7" s="450"/>
      <c r="FH7" s="450"/>
      <c r="FI7" s="450"/>
      <c r="FJ7" s="450"/>
      <c r="FK7" s="450"/>
      <c r="FL7" s="450"/>
      <c r="FM7" s="450"/>
      <c r="FN7" s="450"/>
      <c r="FO7" s="450"/>
      <c r="FP7" s="450"/>
      <c r="FQ7" s="450"/>
      <c r="FR7" s="450"/>
      <c r="FS7" s="450"/>
      <c r="FT7" s="450"/>
      <c r="FU7" s="450"/>
      <c r="FV7" s="450"/>
      <c r="FW7" s="450"/>
      <c r="FX7" s="450"/>
      <c r="FY7" s="450"/>
      <c r="FZ7" s="450"/>
      <c r="GA7" s="450"/>
      <c r="GB7" s="450"/>
      <c r="GC7" s="450"/>
    </row>
    <row r="8" spans="1:185" s="455" customFormat="1" ht="15">
      <c r="A8" s="450"/>
      <c r="B8" s="544" t="s">
        <v>14</v>
      </c>
      <c r="C8" s="506" t="s">
        <v>15</v>
      </c>
      <c r="D8" s="506" t="s">
        <v>309</v>
      </c>
      <c r="E8" s="506" t="s">
        <v>276</v>
      </c>
      <c r="F8" s="506" t="s">
        <v>17</v>
      </c>
      <c r="G8" s="506" t="s">
        <v>276</v>
      </c>
      <c r="H8" s="506" t="s">
        <v>308</v>
      </c>
      <c r="I8" s="506" t="s">
        <v>308</v>
      </c>
      <c r="J8" s="506" t="s">
        <v>276</v>
      </c>
      <c r="K8" s="506" t="s">
        <v>17</v>
      </c>
      <c r="L8" s="506" t="s">
        <v>276</v>
      </c>
      <c r="M8" s="506" t="s">
        <v>17</v>
      </c>
      <c r="N8" s="507" t="s">
        <v>2</v>
      </c>
      <c r="O8" s="450"/>
      <c r="P8" s="421" t="s">
        <v>296</v>
      </c>
      <c r="Q8" s="6" t="s">
        <v>296</v>
      </c>
      <c r="R8" s="6" t="s">
        <v>296</v>
      </c>
      <c r="S8" s="6" t="s">
        <v>296</v>
      </c>
      <c r="T8" s="510" t="s">
        <v>273</v>
      </c>
      <c r="U8" s="528" t="s">
        <v>302</v>
      </c>
      <c r="V8" s="546" t="s">
        <v>274</v>
      </c>
      <c r="W8" s="450"/>
      <c r="X8" s="450"/>
      <c r="Y8" s="450"/>
      <c r="Z8" s="450"/>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c r="BS8" s="450"/>
      <c r="BT8" s="450"/>
      <c r="BU8" s="450"/>
      <c r="BV8" s="450"/>
      <c r="BW8" s="450"/>
      <c r="BX8" s="450"/>
      <c r="BY8" s="450"/>
      <c r="BZ8" s="450"/>
      <c r="CA8" s="450"/>
      <c r="CB8" s="450"/>
      <c r="CC8" s="450"/>
      <c r="CD8" s="450"/>
      <c r="CE8" s="450"/>
      <c r="CF8" s="450"/>
      <c r="CG8" s="450"/>
      <c r="CH8" s="450"/>
      <c r="CI8" s="450"/>
      <c r="CJ8" s="450"/>
      <c r="CK8" s="450"/>
      <c r="CL8" s="450"/>
      <c r="CM8" s="450"/>
      <c r="CN8" s="450"/>
      <c r="CO8" s="450"/>
      <c r="CP8" s="450"/>
      <c r="CQ8" s="450"/>
      <c r="CR8" s="450"/>
      <c r="CS8" s="450"/>
      <c r="CT8" s="450"/>
      <c r="CU8" s="450"/>
      <c r="CV8" s="450"/>
      <c r="CW8" s="450"/>
      <c r="CX8" s="450"/>
      <c r="CY8" s="450"/>
      <c r="CZ8" s="450"/>
      <c r="DA8" s="450"/>
      <c r="DB8" s="450"/>
      <c r="DC8" s="450"/>
      <c r="DD8" s="450"/>
      <c r="DE8" s="450"/>
      <c r="DF8" s="450"/>
      <c r="DG8" s="450"/>
      <c r="DH8" s="450"/>
      <c r="DI8" s="450"/>
      <c r="DJ8" s="450"/>
      <c r="DK8" s="450"/>
      <c r="DL8" s="450"/>
      <c r="DM8" s="450"/>
      <c r="DN8" s="450"/>
      <c r="DO8" s="450"/>
      <c r="DP8" s="450"/>
      <c r="DQ8" s="450"/>
      <c r="DR8" s="450"/>
      <c r="DS8" s="450"/>
      <c r="DT8" s="450"/>
      <c r="DU8" s="450"/>
      <c r="DV8" s="450"/>
      <c r="DW8" s="450"/>
      <c r="DX8" s="450"/>
      <c r="DY8" s="450"/>
      <c r="DZ8" s="450"/>
      <c r="EA8" s="450"/>
      <c r="EB8" s="450"/>
      <c r="EC8" s="450"/>
      <c r="ED8" s="450"/>
      <c r="EE8" s="450"/>
      <c r="EF8" s="450"/>
      <c r="EG8" s="450"/>
      <c r="EH8" s="450"/>
      <c r="EI8" s="450"/>
      <c r="EJ8" s="450"/>
      <c r="EK8" s="450"/>
      <c r="EL8" s="450"/>
      <c r="EM8" s="450"/>
      <c r="EN8" s="450"/>
      <c r="EO8" s="450"/>
      <c r="EP8" s="450"/>
      <c r="EQ8" s="450"/>
      <c r="ER8" s="450"/>
      <c r="ES8" s="450"/>
      <c r="ET8" s="450"/>
      <c r="EU8" s="450"/>
      <c r="EV8" s="450"/>
      <c r="EW8" s="450"/>
      <c r="EX8" s="450"/>
      <c r="EY8" s="450"/>
      <c r="EZ8" s="450"/>
      <c r="FA8" s="450"/>
      <c r="FB8" s="450"/>
      <c r="FC8" s="450"/>
      <c r="FD8" s="450"/>
      <c r="FE8" s="450"/>
      <c r="FF8" s="450"/>
      <c r="FG8" s="450"/>
      <c r="FH8" s="450"/>
      <c r="FI8" s="450"/>
      <c r="FJ8" s="450"/>
      <c r="FK8" s="450"/>
      <c r="FL8" s="450"/>
      <c r="FM8" s="450"/>
      <c r="FN8" s="450"/>
      <c r="FO8" s="450"/>
      <c r="FP8" s="450"/>
      <c r="FQ8" s="450"/>
      <c r="FR8" s="450"/>
      <c r="FS8" s="450"/>
      <c r="FT8" s="450"/>
      <c r="FU8" s="450"/>
      <c r="FV8" s="450"/>
      <c r="FW8" s="450"/>
      <c r="FX8" s="450"/>
      <c r="FY8" s="450"/>
      <c r="FZ8" s="450"/>
      <c r="GA8" s="450"/>
      <c r="GB8" s="450"/>
      <c r="GC8" s="450"/>
    </row>
    <row r="9" spans="1:185" s="455" customFormat="1" ht="15.75" thickBot="1">
      <c r="A9" s="450"/>
      <c r="B9" s="545"/>
      <c r="C9" s="451" t="s">
        <v>278</v>
      </c>
      <c r="D9" s="451" t="s">
        <v>275</v>
      </c>
      <c r="E9" s="451" t="s">
        <v>295</v>
      </c>
      <c r="F9" s="451" t="s">
        <v>305</v>
      </c>
      <c r="G9" s="451" t="s">
        <v>306</v>
      </c>
      <c r="H9" s="451" t="s">
        <v>307</v>
      </c>
      <c r="I9" s="451" t="s">
        <v>466</v>
      </c>
      <c r="J9" s="451" t="s">
        <v>467</v>
      </c>
      <c r="K9" s="451" t="s">
        <v>468</v>
      </c>
      <c r="L9" s="451" t="s">
        <v>469</v>
      </c>
      <c r="M9" s="451" t="s">
        <v>470</v>
      </c>
      <c r="N9" s="452" t="s">
        <v>278</v>
      </c>
      <c r="O9" s="450"/>
      <c r="P9" s="508" t="s">
        <v>297</v>
      </c>
      <c r="Q9" s="9" t="s">
        <v>298</v>
      </c>
      <c r="R9" s="9" t="s">
        <v>299</v>
      </c>
      <c r="S9" s="9" t="s">
        <v>300</v>
      </c>
      <c r="T9" s="511" t="s">
        <v>301</v>
      </c>
      <c r="U9" s="529" t="s">
        <v>303</v>
      </c>
      <c r="V9" s="547"/>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450"/>
      <c r="EB9" s="450"/>
      <c r="EC9" s="450"/>
      <c r="ED9" s="450"/>
      <c r="EE9" s="450"/>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0"/>
      <c r="FD9" s="450"/>
      <c r="FE9" s="450"/>
      <c r="FF9" s="450"/>
      <c r="FG9" s="450"/>
      <c r="FH9" s="450"/>
      <c r="FI9" s="450"/>
      <c r="FJ9" s="450"/>
      <c r="FK9" s="450"/>
      <c r="FL9" s="450"/>
      <c r="FM9" s="450"/>
      <c r="FN9" s="450"/>
      <c r="FO9" s="450"/>
      <c r="FP9" s="450"/>
      <c r="FQ9" s="450"/>
      <c r="FR9" s="450"/>
      <c r="FS9" s="450"/>
      <c r="FT9" s="450"/>
      <c r="FU9" s="450"/>
      <c r="FV9" s="450"/>
      <c r="FW9" s="450"/>
      <c r="FX9" s="450"/>
      <c r="FY9" s="450"/>
      <c r="FZ9" s="450"/>
      <c r="GA9" s="450"/>
      <c r="GB9" s="450"/>
      <c r="GC9" s="450"/>
    </row>
    <row r="10" spans="2:22" ht="15">
      <c r="B10" s="416" t="s">
        <v>18</v>
      </c>
      <c r="C10" s="14">
        <f aca="true" t="shared" si="0" ref="C10:N10">SUM(C11:C14)</f>
        <v>15940921282.48496</v>
      </c>
      <c r="D10" s="14">
        <f t="shared" si="0"/>
        <v>6568137379.98774</v>
      </c>
      <c r="E10" s="14">
        <f t="shared" si="0"/>
        <v>0</v>
      </c>
      <c r="F10" s="14">
        <f t="shared" si="0"/>
        <v>0</v>
      </c>
      <c r="G10" s="14">
        <f t="shared" si="0"/>
        <v>1500000000</v>
      </c>
      <c r="H10" s="14">
        <f t="shared" si="0"/>
        <v>0</v>
      </c>
      <c r="I10" s="14">
        <f t="shared" si="0"/>
        <v>-228873289</v>
      </c>
      <c r="J10" s="14">
        <f t="shared" si="0"/>
        <v>0</v>
      </c>
      <c r="K10" s="14">
        <f t="shared" si="0"/>
        <v>0</v>
      </c>
      <c r="L10" s="14">
        <f t="shared" si="0"/>
        <v>710858135</v>
      </c>
      <c r="M10" s="14">
        <f t="shared" si="0"/>
        <v>0</v>
      </c>
      <c r="N10" s="15">
        <f t="shared" si="0"/>
        <v>24491043508.472702</v>
      </c>
      <c r="P10" s="422">
        <f aca="true" t="shared" si="1" ref="P10:V10">SUM(P11:P14)</f>
        <v>3156667585</v>
      </c>
      <c r="Q10" s="14">
        <f t="shared" si="1"/>
        <v>3398460311.99</v>
      </c>
      <c r="R10" s="14">
        <f t="shared" si="1"/>
        <v>3456808393.1044</v>
      </c>
      <c r="S10" s="14">
        <f t="shared" si="1"/>
        <v>4142404362</v>
      </c>
      <c r="T10" s="512">
        <f t="shared" si="1"/>
        <v>10707332213.32776</v>
      </c>
      <c r="U10" s="530">
        <f t="shared" si="1"/>
        <v>24861672865.42216</v>
      </c>
      <c r="V10" s="458">
        <f t="shared" si="1"/>
        <v>-370629356.9494603</v>
      </c>
    </row>
    <row r="11" spans="2:22" ht="15">
      <c r="B11" s="16" t="s">
        <v>19</v>
      </c>
      <c r="C11" s="137">
        <v>7794856219.25054</v>
      </c>
      <c r="D11" s="137"/>
      <c r="E11" s="137"/>
      <c r="F11" s="137"/>
      <c r="G11" s="137">
        <v>1500000000</v>
      </c>
      <c r="H11" s="137"/>
      <c r="I11" s="137"/>
      <c r="J11" s="137"/>
      <c r="K11" s="137"/>
      <c r="L11" s="137">
        <v>710858135</v>
      </c>
      <c r="M11" s="137"/>
      <c r="N11" s="51">
        <f>SUM(C11:M11)</f>
        <v>10005714354.25054</v>
      </c>
      <c r="P11" s="423">
        <v>2988079775</v>
      </c>
      <c r="Q11" s="137">
        <v>2535222539</v>
      </c>
      <c r="R11" s="137">
        <v>2414069973</v>
      </c>
      <c r="S11" s="137">
        <v>2854786802</v>
      </c>
      <c r="T11" s="513"/>
      <c r="U11" s="531">
        <f>SUM(P11:T11)</f>
        <v>10792159089</v>
      </c>
      <c r="V11" s="459">
        <f>+N11-U11</f>
        <v>-786444734.7494602</v>
      </c>
    </row>
    <row r="12" spans="2:22" ht="15">
      <c r="B12" s="16" t="s">
        <v>69</v>
      </c>
      <c r="C12" s="137">
        <v>587270196.8</v>
      </c>
      <c r="D12" s="137"/>
      <c r="E12" s="137"/>
      <c r="F12" s="137"/>
      <c r="G12" s="137"/>
      <c r="H12" s="137"/>
      <c r="I12" s="137">
        <v>-117042039</v>
      </c>
      <c r="J12" s="137"/>
      <c r="K12" s="137"/>
      <c r="L12" s="137"/>
      <c r="M12" s="137"/>
      <c r="N12" s="51">
        <f>SUM(C12:M12)</f>
        <v>470228157.79999995</v>
      </c>
      <c r="P12" s="423">
        <v>135493991</v>
      </c>
      <c r="Q12" s="137">
        <v>36808248</v>
      </c>
      <c r="R12" s="137">
        <v>26627982</v>
      </c>
      <c r="S12" s="137">
        <v>28089585</v>
      </c>
      <c r="T12" s="513"/>
      <c r="U12" s="531">
        <f>SUM(P12:T12)</f>
        <v>227019806</v>
      </c>
      <c r="V12" s="459">
        <f>+N12-U12</f>
        <v>243208351.79999995</v>
      </c>
    </row>
    <row r="13" spans="2:22" ht="15">
      <c r="B13" s="16" t="s">
        <v>20</v>
      </c>
      <c r="C13" s="137">
        <v>447324999.99999994</v>
      </c>
      <c r="D13" s="137"/>
      <c r="E13" s="137"/>
      <c r="F13" s="137"/>
      <c r="G13" s="137"/>
      <c r="H13" s="137"/>
      <c r="I13" s="137">
        <v>-111831250</v>
      </c>
      <c r="J13" s="137"/>
      <c r="K13" s="137"/>
      <c r="L13" s="137"/>
      <c r="M13" s="137"/>
      <c r="N13" s="51">
        <f>SUM(C13:M13)</f>
        <v>335493749.99999994</v>
      </c>
      <c r="P13" s="423">
        <v>33093819</v>
      </c>
      <c r="Q13" s="137">
        <v>58492568</v>
      </c>
      <c r="R13" s="137">
        <v>35360396</v>
      </c>
      <c r="S13" s="137">
        <v>35939941</v>
      </c>
      <c r="T13" s="513"/>
      <c r="U13" s="531">
        <f>SUM(P13:T13)</f>
        <v>162886724</v>
      </c>
      <c r="V13" s="459">
        <f>+N13-U13</f>
        <v>172607025.99999994</v>
      </c>
    </row>
    <row r="14" spans="2:22" ht="15">
      <c r="B14" s="16" t="s">
        <v>53</v>
      </c>
      <c r="C14" s="137">
        <v>7111469866.434422</v>
      </c>
      <c r="D14" s="137">
        <v>6568137379.98774</v>
      </c>
      <c r="E14" s="137"/>
      <c r="F14" s="137"/>
      <c r="G14" s="137"/>
      <c r="H14" s="137"/>
      <c r="I14" s="137"/>
      <c r="J14" s="137"/>
      <c r="K14" s="137"/>
      <c r="L14" s="137"/>
      <c r="M14" s="137"/>
      <c r="N14" s="51">
        <f>SUM(C14:M14)</f>
        <v>13679607246.422161</v>
      </c>
      <c r="P14" s="423"/>
      <c r="Q14" s="137">
        <v>767936956.99</v>
      </c>
      <c r="R14" s="137">
        <v>980750042.1044</v>
      </c>
      <c r="S14" s="137">
        <v>1223588034</v>
      </c>
      <c r="T14" s="513">
        <v>10707332213.32776</v>
      </c>
      <c r="U14" s="531">
        <f>SUM(P14:T14)</f>
        <v>13679607246.422161</v>
      </c>
      <c r="V14" s="459">
        <f>+N14-U14</f>
        <v>0</v>
      </c>
    </row>
    <row r="15" spans="2:22" ht="15">
      <c r="B15" s="46" t="s">
        <v>21</v>
      </c>
      <c r="C15" s="21">
        <f aca="true" t="shared" si="2" ref="C15:N15">+SUM(C16:C17)</f>
        <v>653955316.0401263</v>
      </c>
      <c r="D15" s="21">
        <f t="shared" si="2"/>
        <v>0</v>
      </c>
      <c r="E15" s="21">
        <f t="shared" si="2"/>
        <v>0</v>
      </c>
      <c r="F15" s="21">
        <f t="shared" si="2"/>
        <v>0</v>
      </c>
      <c r="G15" s="21">
        <f t="shared" si="2"/>
        <v>771300000</v>
      </c>
      <c r="H15" s="21">
        <f t="shared" si="2"/>
        <v>0</v>
      </c>
      <c r="I15" s="21">
        <f t="shared" si="2"/>
        <v>0</v>
      </c>
      <c r="J15" s="21">
        <f t="shared" si="2"/>
        <v>113731821</v>
      </c>
      <c r="K15" s="21">
        <f t="shared" si="2"/>
        <v>0</v>
      </c>
      <c r="L15" s="21">
        <f t="shared" si="2"/>
        <v>2192216</v>
      </c>
      <c r="M15" s="21">
        <f t="shared" si="2"/>
        <v>0</v>
      </c>
      <c r="N15" s="22">
        <f t="shared" si="2"/>
        <v>1541179353.0401263</v>
      </c>
      <c r="P15" s="424">
        <f aca="true" t="shared" si="3" ref="P15:V15">+SUM(P16:P17)</f>
        <v>387037519</v>
      </c>
      <c r="Q15" s="21">
        <f t="shared" si="3"/>
        <v>361277723</v>
      </c>
      <c r="R15" s="21">
        <f t="shared" si="3"/>
        <v>397629455</v>
      </c>
      <c r="S15" s="21">
        <f t="shared" si="3"/>
        <v>385071903</v>
      </c>
      <c r="T15" s="514">
        <f t="shared" si="3"/>
        <v>0</v>
      </c>
      <c r="U15" s="532">
        <f t="shared" si="3"/>
        <v>1531016600</v>
      </c>
      <c r="V15" s="460">
        <f t="shared" si="3"/>
        <v>10162753.040126324</v>
      </c>
    </row>
    <row r="16" spans="2:22" ht="15">
      <c r="B16" s="16" t="s">
        <v>22</v>
      </c>
      <c r="C16" s="17">
        <v>3000000</v>
      </c>
      <c r="D16" s="17"/>
      <c r="E16" s="17"/>
      <c r="F16" s="17"/>
      <c r="G16" s="17">
        <v>6300000</v>
      </c>
      <c r="H16" s="17"/>
      <c r="I16" s="17"/>
      <c r="J16" s="17"/>
      <c r="K16" s="17"/>
      <c r="L16" s="17">
        <v>2192216</v>
      </c>
      <c r="M16" s="17"/>
      <c r="N16" s="51">
        <f>SUM(C16:M16)</f>
        <v>11492216</v>
      </c>
      <c r="P16" s="425">
        <v>5382229</v>
      </c>
      <c r="Q16" s="17">
        <v>3022008</v>
      </c>
      <c r="R16" s="17">
        <v>3077979</v>
      </c>
      <c r="S16" s="17">
        <v>40</v>
      </c>
      <c r="T16" s="515"/>
      <c r="U16" s="531">
        <f>SUM(P16:T16)</f>
        <v>11482256</v>
      </c>
      <c r="V16" s="459">
        <f>+N16-U16</f>
        <v>9960</v>
      </c>
    </row>
    <row r="17" spans="2:22" ht="15">
      <c r="B17" s="16" t="s">
        <v>23</v>
      </c>
      <c r="C17" s="137">
        <v>650955316.0401263</v>
      </c>
      <c r="D17" s="137"/>
      <c r="E17" s="137"/>
      <c r="F17" s="137"/>
      <c r="G17" s="137">
        <v>765000000</v>
      </c>
      <c r="H17" s="137"/>
      <c r="I17" s="137"/>
      <c r="J17" s="137">
        <v>113731821</v>
      </c>
      <c r="K17" s="137"/>
      <c r="L17" s="137"/>
      <c r="M17" s="137"/>
      <c r="N17" s="51">
        <f>SUM(C17:M17)</f>
        <v>1529687137.0401263</v>
      </c>
      <c r="P17" s="423">
        <v>381655290</v>
      </c>
      <c r="Q17" s="137">
        <v>358255715</v>
      </c>
      <c r="R17" s="137">
        <v>394551476</v>
      </c>
      <c r="S17" s="137">
        <v>385071863</v>
      </c>
      <c r="T17" s="513"/>
      <c r="U17" s="531">
        <f>SUM(P17:T17)</f>
        <v>1519534344</v>
      </c>
      <c r="V17" s="459">
        <f>+N17-U17</f>
        <v>10152793.040126324</v>
      </c>
    </row>
    <row r="18" spans="2:22" ht="15">
      <c r="B18" s="46" t="s">
        <v>24</v>
      </c>
      <c r="C18" s="21">
        <f aca="true" t="shared" si="4" ref="C18:N18">SUM(C10+C15)</f>
        <v>16594876598.525087</v>
      </c>
      <c r="D18" s="21">
        <f t="shared" si="4"/>
        <v>6568137379.98774</v>
      </c>
      <c r="E18" s="21">
        <f t="shared" si="4"/>
        <v>0</v>
      </c>
      <c r="F18" s="21">
        <f t="shared" si="4"/>
        <v>0</v>
      </c>
      <c r="G18" s="21">
        <f t="shared" si="4"/>
        <v>2271300000</v>
      </c>
      <c r="H18" s="21">
        <f t="shared" si="4"/>
        <v>0</v>
      </c>
      <c r="I18" s="21">
        <f t="shared" si="4"/>
        <v>-228873289</v>
      </c>
      <c r="J18" s="21">
        <f t="shared" si="4"/>
        <v>113731821</v>
      </c>
      <c r="K18" s="21">
        <f t="shared" si="4"/>
        <v>0</v>
      </c>
      <c r="L18" s="21">
        <f t="shared" si="4"/>
        <v>713050351</v>
      </c>
      <c r="M18" s="21">
        <f t="shared" si="4"/>
        <v>0</v>
      </c>
      <c r="N18" s="22">
        <f t="shared" si="4"/>
        <v>26032222861.51283</v>
      </c>
      <c r="P18" s="424">
        <f aca="true" t="shared" si="5" ref="P18:V18">SUM(P10+P15)</f>
        <v>3543705104</v>
      </c>
      <c r="Q18" s="21">
        <f t="shared" si="5"/>
        <v>3759738034.99</v>
      </c>
      <c r="R18" s="21">
        <f t="shared" si="5"/>
        <v>3854437848.1044</v>
      </c>
      <c r="S18" s="21">
        <f t="shared" si="5"/>
        <v>4527476265</v>
      </c>
      <c r="T18" s="514">
        <f t="shared" si="5"/>
        <v>10707332213.32776</v>
      </c>
      <c r="U18" s="532">
        <f t="shared" si="5"/>
        <v>26392689465.42216</v>
      </c>
      <c r="V18" s="460">
        <f t="shared" si="5"/>
        <v>-360466603.909334</v>
      </c>
    </row>
    <row r="19" spans="2:22" ht="15">
      <c r="B19" s="23" t="s">
        <v>25</v>
      </c>
      <c r="C19" s="21"/>
      <c r="D19" s="21"/>
      <c r="E19" s="21"/>
      <c r="F19" s="21"/>
      <c r="G19" s="21"/>
      <c r="H19" s="21"/>
      <c r="I19" s="21"/>
      <c r="J19" s="21"/>
      <c r="K19" s="21"/>
      <c r="L19" s="21"/>
      <c r="M19" s="21"/>
      <c r="N19" s="22"/>
      <c r="P19" s="424"/>
      <c r="Q19" s="21"/>
      <c r="R19" s="21"/>
      <c r="S19" s="21"/>
      <c r="T19" s="516"/>
      <c r="U19" s="532"/>
      <c r="V19" s="460"/>
    </row>
    <row r="20" spans="2:22" ht="15">
      <c r="B20" s="24" t="s">
        <v>26</v>
      </c>
      <c r="C20" s="21">
        <f aca="true" t="shared" si="6" ref="C20:N20">+C21+C33</f>
        <v>2158455301</v>
      </c>
      <c r="D20" s="21">
        <f t="shared" si="6"/>
        <v>0</v>
      </c>
      <c r="E20" s="21">
        <f t="shared" si="6"/>
        <v>130997080.49842668</v>
      </c>
      <c r="F20" s="21">
        <f t="shared" si="6"/>
        <v>0</v>
      </c>
      <c r="G20" s="21">
        <f>+G21+G33</f>
        <v>0</v>
      </c>
      <c r="H20" s="21">
        <f t="shared" si="6"/>
        <v>0</v>
      </c>
      <c r="I20" s="21">
        <f>+I21+I33</f>
        <v>-91207340</v>
      </c>
      <c r="J20" s="21">
        <f>+J21+J33</f>
        <v>0</v>
      </c>
      <c r="K20" s="21">
        <f>+K21+K33</f>
        <v>0</v>
      </c>
      <c r="L20" s="21">
        <f>+L21+L33</f>
        <v>0</v>
      </c>
      <c r="M20" s="21">
        <f>+M21+M33</f>
        <v>0</v>
      </c>
      <c r="N20" s="22">
        <f t="shared" si="6"/>
        <v>2198245041.4984264</v>
      </c>
      <c r="P20" s="424">
        <f aca="true" t="shared" si="7" ref="P20:V20">+P21+P33</f>
        <v>585884407</v>
      </c>
      <c r="Q20" s="21">
        <f t="shared" si="7"/>
        <v>482630081</v>
      </c>
      <c r="R20" s="21">
        <f t="shared" si="7"/>
        <v>457774287</v>
      </c>
      <c r="S20" s="21">
        <f t="shared" si="7"/>
        <v>534752280</v>
      </c>
      <c r="T20" s="516">
        <f t="shared" si="7"/>
        <v>0</v>
      </c>
      <c r="U20" s="532">
        <f>+U21+U33</f>
        <v>2061041055</v>
      </c>
      <c r="V20" s="460">
        <f t="shared" si="7"/>
        <v>137203986.49842668</v>
      </c>
    </row>
    <row r="21" spans="2:22" ht="15">
      <c r="B21" s="25" t="s">
        <v>7</v>
      </c>
      <c r="C21" s="21">
        <f aca="true" t="shared" si="8" ref="C21:N21">SUM(C22:C32)</f>
        <v>1344580201</v>
      </c>
      <c r="D21" s="21">
        <f t="shared" si="8"/>
        <v>0</v>
      </c>
      <c r="E21" s="21">
        <f t="shared" si="8"/>
        <v>74812539.49842668</v>
      </c>
      <c r="F21" s="21">
        <f t="shared" si="8"/>
        <v>0</v>
      </c>
      <c r="G21" s="21">
        <f>SUM(G22:G32)</f>
        <v>0</v>
      </c>
      <c r="H21" s="21">
        <f t="shared" si="8"/>
        <v>0</v>
      </c>
      <c r="I21" s="21">
        <f>SUM(I22:I32)</f>
        <v>-5310444</v>
      </c>
      <c r="J21" s="21">
        <f>SUM(J22:J32)</f>
        <v>0</v>
      </c>
      <c r="K21" s="21">
        <f>SUM(K22:K32)</f>
        <v>0</v>
      </c>
      <c r="L21" s="21">
        <f>SUM(L22:L32)</f>
        <v>0</v>
      </c>
      <c r="M21" s="21">
        <f>SUM(M22:M32)</f>
        <v>0</v>
      </c>
      <c r="N21" s="22">
        <f t="shared" si="8"/>
        <v>1414082296.4984267</v>
      </c>
      <c r="P21" s="424">
        <f aca="true" t="shared" si="9" ref="P21:V21">SUM(P22:P32)</f>
        <v>326958216</v>
      </c>
      <c r="Q21" s="21">
        <f t="shared" si="9"/>
        <v>347773841</v>
      </c>
      <c r="R21" s="21">
        <f t="shared" si="9"/>
        <v>322747935</v>
      </c>
      <c r="S21" s="21">
        <f t="shared" si="9"/>
        <v>349066161</v>
      </c>
      <c r="T21" s="516">
        <f t="shared" si="9"/>
        <v>0</v>
      </c>
      <c r="U21" s="532">
        <f t="shared" si="9"/>
        <v>1346546153</v>
      </c>
      <c r="V21" s="460">
        <f t="shared" si="9"/>
        <v>67536143.49842668</v>
      </c>
    </row>
    <row r="22" spans="2:22" ht="15">
      <c r="B22" s="26" t="s">
        <v>27</v>
      </c>
      <c r="C22" s="17">
        <v>781233201</v>
      </c>
      <c r="D22" s="17"/>
      <c r="E22" s="17">
        <v>42612720</v>
      </c>
      <c r="F22" s="17"/>
      <c r="G22" s="17"/>
      <c r="H22" s="17"/>
      <c r="I22" s="17">
        <v>0</v>
      </c>
      <c r="J22" s="17"/>
      <c r="K22" s="17">
        <v>-3638000</v>
      </c>
      <c r="L22" s="17"/>
      <c r="M22" s="17">
        <v>-180000</v>
      </c>
      <c r="N22" s="51">
        <f aca="true" t="shared" si="10" ref="N22:N30">SUM(C22:M22)</f>
        <v>820027921</v>
      </c>
      <c r="P22" s="425">
        <v>191221049</v>
      </c>
      <c r="Q22" s="17">
        <v>204423963</v>
      </c>
      <c r="R22" s="17">
        <f>+'[4]FUNCIONAMIENTO'!$K$63+'[4]FUN - RECAUDO'!$K$61</f>
        <v>179961721</v>
      </c>
      <c r="S22" s="17">
        <f>+'[5]FUNCIONAMIENTO'!$K$76+'[5]FUN - RECAUDO'!$K$72</f>
        <v>195482468</v>
      </c>
      <c r="T22" s="517"/>
      <c r="U22" s="531">
        <f aca="true" t="shared" si="11" ref="U22:U32">SUM(P22:T22)</f>
        <v>771089201</v>
      </c>
      <c r="V22" s="459">
        <f aca="true" t="shared" si="12" ref="V22:V32">+N22-U22</f>
        <v>48938720</v>
      </c>
    </row>
    <row r="23" spans="2:22" ht="15">
      <c r="B23" s="26" t="s">
        <v>28</v>
      </c>
      <c r="C23" s="17">
        <v>31999890</v>
      </c>
      <c r="D23" s="17"/>
      <c r="E23" s="17">
        <v>2467237</v>
      </c>
      <c r="F23" s="17"/>
      <c r="G23" s="17"/>
      <c r="H23" s="17"/>
      <c r="I23" s="17">
        <v>0</v>
      </c>
      <c r="J23" s="17"/>
      <c r="K23" s="17">
        <v>3638000</v>
      </c>
      <c r="L23" s="17"/>
      <c r="M23" s="17">
        <v>180000</v>
      </c>
      <c r="N23" s="51">
        <f t="shared" si="10"/>
        <v>38285127</v>
      </c>
      <c r="P23" s="425">
        <v>9553600</v>
      </c>
      <c r="Q23" s="17">
        <v>8705800</v>
      </c>
      <c r="R23" s="17">
        <f>+'[4]FUNCIONAMIENTO'!$K$68+'[4]FUN - RECAUDO'!$K$68</f>
        <v>9223933</v>
      </c>
      <c r="S23" s="17">
        <f>+'[5]FUNCIONAMIENTO'!$K$82+'[5]FUN - RECAUDO'!$K$78</f>
        <v>10746531</v>
      </c>
      <c r="T23" s="517"/>
      <c r="U23" s="531">
        <f t="shared" si="11"/>
        <v>38229864</v>
      </c>
      <c r="V23" s="459">
        <f t="shared" si="12"/>
        <v>55263</v>
      </c>
    </row>
    <row r="24" spans="2:22" ht="15">
      <c r="B24" s="40" t="s">
        <v>49</v>
      </c>
      <c r="C24" s="28">
        <v>3086664</v>
      </c>
      <c r="D24" s="28"/>
      <c r="E24" s="17">
        <v>278516.4984266665</v>
      </c>
      <c r="F24" s="28"/>
      <c r="G24" s="28"/>
      <c r="H24" s="28"/>
      <c r="I24" s="28">
        <v>0</v>
      </c>
      <c r="J24" s="28"/>
      <c r="K24" s="28"/>
      <c r="L24" s="28"/>
      <c r="M24" s="28"/>
      <c r="N24" s="51">
        <f t="shared" si="10"/>
        <v>3365180.4984266665</v>
      </c>
      <c r="P24" s="426">
        <v>726464</v>
      </c>
      <c r="Q24" s="28">
        <v>810828</v>
      </c>
      <c r="R24" s="28">
        <f>+'[4]FUN - RECAUDO'!$K$73</f>
        <v>843636</v>
      </c>
      <c r="S24" s="28">
        <f>+'[5]FUN - RECAUDO'!$K$84</f>
        <v>782706</v>
      </c>
      <c r="T24" s="518"/>
      <c r="U24" s="531">
        <f t="shared" si="11"/>
        <v>3163634</v>
      </c>
      <c r="V24" s="459">
        <f t="shared" si="12"/>
        <v>201546.49842666648</v>
      </c>
    </row>
    <row r="25" spans="2:22" ht="15">
      <c r="B25" s="26" t="s">
        <v>29</v>
      </c>
      <c r="C25" s="17">
        <v>63999783</v>
      </c>
      <c r="D25" s="17"/>
      <c r="E25" s="17">
        <v>4934474</v>
      </c>
      <c r="F25" s="17"/>
      <c r="G25" s="17"/>
      <c r="H25" s="17"/>
      <c r="I25" s="17">
        <v>0</v>
      </c>
      <c r="J25" s="17"/>
      <c r="K25" s="17"/>
      <c r="L25" s="17"/>
      <c r="M25" s="17"/>
      <c r="N25" s="51">
        <f t="shared" si="10"/>
        <v>68934257</v>
      </c>
      <c r="P25" s="425">
        <v>16046784</v>
      </c>
      <c r="Q25" s="17">
        <v>17479264</v>
      </c>
      <c r="R25" s="17">
        <f>+'[4]FUNCIONAMIENTO'!$K$76+'[4]FUN - RECAUDO'!$K$78</f>
        <v>17481904</v>
      </c>
      <c r="S25" s="17">
        <f>+'[5]FUNCIONAMIENTO'!$K$87+'[5]FUN - RECAUDO'!$K$90</f>
        <v>17477997</v>
      </c>
      <c r="T25" s="517"/>
      <c r="U25" s="531">
        <f t="shared" si="11"/>
        <v>68485949</v>
      </c>
      <c r="V25" s="459">
        <f t="shared" si="12"/>
        <v>448308</v>
      </c>
    </row>
    <row r="26" spans="2:22" ht="15">
      <c r="B26" s="26" t="s">
        <v>8</v>
      </c>
      <c r="C26" s="17">
        <v>133999880</v>
      </c>
      <c r="D26" s="17"/>
      <c r="E26" s="17">
        <v>4883518</v>
      </c>
      <c r="F26" s="17"/>
      <c r="G26" s="17"/>
      <c r="H26" s="17"/>
      <c r="I26" s="17">
        <v>-5140549</v>
      </c>
      <c r="J26" s="17"/>
      <c r="K26" s="17"/>
      <c r="L26" s="17"/>
      <c r="M26" s="17"/>
      <c r="N26" s="51">
        <f t="shared" si="10"/>
        <v>133742849</v>
      </c>
      <c r="P26" s="425">
        <v>28304849</v>
      </c>
      <c r="Q26" s="17">
        <v>30669000</v>
      </c>
      <c r="R26" s="17">
        <f>+'[4]FUNCIONAMIENTO'!$K$81+'[4]FUN - RECAUDO'!$K$83</f>
        <v>28989000</v>
      </c>
      <c r="S26" s="17">
        <f>+'[5]FUNCIONAMIENTO'!$K$92+'[5]FUN - RECAUDO'!$K$96</f>
        <v>34389000</v>
      </c>
      <c r="T26" s="517"/>
      <c r="U26" s="531">
        <f t="shared" si="11"/>
        <v>122351849</v>
      </c>
      <c r="V26" s="459">
        <f t="shared" si="12"/>
        <v>11391000</v>
      </c>
    </row>
    <row r="27" spans="2:22" ht="15">
      <c r="B27" s="26" t="s">
        <v>30</v>
      </c>
      <c r="C27" s="17">
        <v>3270000.0000000005</v>
      </c>
      <c r="D27" s="17"/>
      <c r="E27" s="17">
        <v>123599.99999999953</v>
      </c>
      <c r="F27" s="17"/>
      <c r="G27" s="17"/>
      <c r="H27" s="17"/>
      <c r="I27" s="17">
        <v>-169895</v>
      </c>
      <c r="J27" s="17"/>
      <c r="K27" s="17"/>
      <c r="L27" s="17"/>
      <c r="M27" s="17"/>
      <c r="N27" s="51">
        <f t="shared" si="10"/>
        <v>3223705</v>
      </c>
      <c r="P27" s="425">
        <v>3223705</v>
      </c>
      <c r="Q27" s="17">
        <v>0</v>
      </c>
      <c r="R27" s="17">
        <v>0</v>
      </c>
      <c r="S27" s="17">
        <v>0</v>
      </c>
      <c r="T27" s="517"/>
      <c r="U27" s="531">
        <f t="shared" si="11"/>
        <v>3223705</v>
      </c>
      <c r="V27" s="459">
        <f t="shared" si="12"/>
        <v>0</v>
      </c>
    </row>
    <row r="28" spans="2:22" ht="15">
      <c r="B28" s="26" t="s">
        <v>31</v>
      </c>
      <c r="C28" s="17">
        <v>63999783</v>
      </c>
      <c r="D28" s="17"/>
      <c r="E28" s="17">
        <v>4934474</v>
      </c>
      <c r="F28" s="17"/>
      <c r="G28" s="17"/>
      <c r="H28" s="17"/>
      <c r="I28" s="17">
        <v>0</v>
      </c>
      <c r="J28" s="17"/>
      <c r="K28" s="17"/>
      <c r="L28" s="17"/>
      <c r="M28" s="17"/>
      <c r="N28" s="51">
        <f t="shared" si="10"/>
        <v>68934257</v>
      </c>
      <c r="P28" s="425">
        <v>16012728</v>
      </c>
      <c r="Q28" s="17">
        <v>17479170</v>
      </c>
      <c r="R28" s="17">
        <f>+'[4]FUNCIONAMIENTO'!$K$95+'[4]FUN - RECAUDO'!$K$88</f>
        <v>17404569</v>
      </c>
      <c r="S28" s="17">
        <f>+'[5]FUNCIONAMIENTO'!$K$103+'[5]FUN - RECAUDO'!$K$101</f>
        <v>17464260</v>
      </c>
      <c r="T28" s="517"/>
      <c r="U28" s="531">
        <f t="shared" si="11"/>
        <v>68360727</v>
      </c>
      <c r="V28" s="459">
        <f t="shared" si="12"/>
        <v>573530</v>
      </c>
    </row>
    <row r="29" spans="2:22" ht="15">
      <c r="B29" s="26" t="s">
        <v>32</v>
      </c>
      <c r="C29" s="17">
        <v>7680000</v>
      </c>
      <c r="D29" s="17"/>
      <c r="E29" s="17">
        <v>596000</v>
      </c>
      <c r="F29" s="17"/>
      <c r="G29" s="17"/>
      <c r="H29" s="17"/>
      <c r="I29" s="17">
        <v>0</v>
      </c>
      <c r="J29" s="17"/>
      <c r="K29" s="17"/>
      <c r="L29" s="17"/>
      <c r="M29" s="17"/>
      <c r="N29" s="51">
        <f t="shared" si="10"/>
        <v>8276000</v>
      </c>
      <c r="P29" s="425">
        <v>443422</v>
      </c>
      <c r="Q29" s="17">
        <v>1486369</v>
      </c>
      <c r="R29" s="17">
        <f>+'[4]FUNCIONAMIENTO'!$K$100++'[4]FUN - RECAUDO'!$K$93</f>
        <v>2528630</v>
      </c>
      <c r="S29" s="17">
        <f>+'[5]FUNCIONAMIENTO'!$K$108+'[5]FUN - RECAUDO'!$K$108</f>
        <v>3579895</v>
      </c>
      <c r="T29" s="517"/>
      <c r="U29" s="531">
        <f t="shared" si="11"/>
        <v>8038316</v>
      </c>
      <c r="V29" s="459">
        <f t="shared" si="12"/>
        <v>237684</v>
      </c>
    </row>
    <row r="30" spans="2:22" ht="15">
      <c r="B30" s="26" t="s">
        <v>33</v>
      </c>
      <c r="C30" s="17">
        <v>182116000</v>
      </c>
      <c r="D30" s="17"/>
      <c r="E30" s="17">
        <v>9925000</v>
      </c>
      <c r="F30" s="17"/>
      <c r="G30" s="17"/>
      <c r="H30" s="17"/>
      <c r="I30" s="17">
        <v>0</v>
      </c>
      <c r="J30" s="17"/>
      <c r="K30" s="17"/>
      <c r="L30" s="17"/>
      <c r="M30" s="17"/>
      <c r="N30" s="51">
        <f t="shared" si="10"/>
        <v>192041000</v>
      </c>
      <c r="P30" s="425">
        <v>44193715</v>
      </c>
      <c r="Q30" s="17">
        <v>47980247</v>
      </c>
      <c r="R30" s="17">
        <f>+'[4]FUNCIONAMIENTO'!$K$105+'[4]FUNCIONAMIENTO'!$K$110+'[4]FUNCIONAMIENTO'!$K$115+'[4]FUN - RECAUDO'!$K$98+'[4]FUN - RECAUDO'!$K$106+'[4]FUN - RECAUDO'!$K$114</f>
        <v>47600642</v>
      </c>
      <c r="S30" s="17">
        <f>+'[5]FUNCIONAMIENTO'!$K$113+'[5]FUNCIONAMIENTO'!$K$120+'[5]FUNCIONAMIENTO'!$K$127+'[5]FUN - RECAUDO'!$K$115+'[5]FUN - RECAUDO'!$K$125+'[5]FUN - RECAUDO'!$K$135</f>
        <v>48013304</v>
      </c>
      <c r="T30" s="517"/>
      <c r="U30" s="531">
        <f t="shared" si="11"/>
        <v>187787908</v>
      </c>
      <c r="V30" s="459">
        <f t="shared" si="12"/>
        <v>4253092</v>
      </c>
    </row>
    <row r="31" spans="2:22" ht="15">
      <c r="B31" s="26" t="s">
        <v>34</v>
      </c>
      <c r="C31" s="17">
        <v>32529000</v>
      </c>
      <c r="D31" s="17"/>
      <c r="E31" s="17">
        <v>1803000</v>
      </c>
      <c r="F31" s="17"/>
      <c r="G31" s="17"/>
      <c r="H31" s="17"/>
      <c r="I31" s="17">
        <v>0</v>
      </c>
      <c r="J31" s="17"/>
      <c r="K31" s="17"/>
      <c r="L31" s="17"/>
      <c r="M31" s="17"/>
      <c r="N31" s="51">
        <f>SUM(C31:M31)</f>
        <v>34332000</v>
      </c>
      <c r="P31" s="425">
        <v>7657500</v>
      </c>
      <c r="Q31" s="17">
        <v>8327300</v>
      </c>
      <c r="R31" s="17">
        <f>+'[4]FUNCIONAMIENTO'!$K$120+'[4]FUN - RECAUDO'!$K$119</f>
        <v>8315800</v>
      </c>
      <c r="S31" s="17">
        <f>+'[5]FUNCIONAMIENTO'!$K$133+'[5]FUN - RECAUDO'!$K$141</f>
        <v>9389400</v>
      </c>
      <c r="T31" s="517"/>
      <c r="U31" s="531">
        <f t="shared" si="11"/>
        <v>33690000</v>
      </c>
      <c r="V31" s="459">
        <f t="shared" si="12"/>
        <v>642000</v>
      </c>
    </row>
    <row r="32" spans="2:22" ht="15">
      <c r="B32" s="26" t="s">
        <v>35</v>
      </c>
      <c r="C32" s="17">
        <v>40666000</v>
      </c>
      <c r="D32" s="17"/>
      <c r="E32" s="17">
        <v>2254000</v>
      </c>
      <c r="F32" s="17"/>
      <c r="G32" s="17"/>
      <c r="H32" s="17"/>
      <c r="I32" s="17">
        <v>0</v>
      </c>
      <c r="J32" s="17"/>
      <c r="K32" s="17"/>
      <c r="L32" s="17"/>
      <c r="M32" s="17"/>
      <c r="N32" s="51">
        <f>SUM(C32:M32)</f>
        <v>42920000</v>
      </c>
      <c r="P32" s="425">
        <v>9574400</v>
      </c>
      <c r="Q32" s="17">
        <v>10411900</v>
      </c>
      <c r="R32" s="17">
        <f>+'[4]FUNCIONAMIENTO'!$K$125+'[4]FUNCIONAMIENTO'!$K$130+'[4]FUN - RECAUDO'!$K$127+'[4]FUN - RECAUDO'!$K$135</f>
        <v>10398100</v>
      </c>
      <c r="S32" s="17">
        <f>+'[5]FUNCIONAMIENTO'!$K$140+'[5]FUNCIONAMIENTO'!$K$147+'[5]FUN - RECAUDO'!$K$150+'[5]FUN - RECAUDO'!$K$159</f>
        <v>11740600</v>
      </c>
      <c r="T32" s="517"/>
      <c r="U32" s="531">
        <f t="shared" si="11"/>
        <v>42125000</v>
      </c>
      <c r="V32" s="459">
        <f t="shared" si="12"/>
        <v>795000</v>
      </c>
    </row>
    <row r="33" spans="2:22" ht="15">
      <c r="B33" s="25" t="s">
        <v>9</v>
      </c>
      <c r="C33" s="29">
        <f aca="true" t="shared" si="13" ref="C33:N33">SUM(C34:C48)</f>
        <v>813875100</v>
      </c>
      <c r="D33" s="29">
        <f t="shared" si="13"/>
        <v>0</v>
      </c>
      <c r="E33" s="29">
        <f t="shared" si="13"/>
        <v>56184541</v>
      </c>
      <c r="F33" s="29">
        <f t="shared" si="13"/>
        <v>0</v>
      </c>
      <c r="G33" s="29">
        <f>SUM(G34:G48)</f>
        <v>0</v>
      </c>
      <c r="H33" s="29">
        <f t="shared" si="13"/>
        <v>0</v>
      </c>
      <c r="I33" s="29">
        <f>SUM(I34:I48)</f>
        <v>-85896896</v>
      </c>
      <c r="J33" s="29">
        <f>SUM(J34:J48)</f>
        <v>0</v>
      </c>
      <c r="K33" s="29">
        <f>SUM(K34:K48)</f>
        <v>0</v>
      </c>
      <c r="L33" s="29">
        <f>SUM(L34:L48)</f>
        <v>0</v>
      </c>
      <c r="M33" s="29">
        <f>SUM(M34:M48)</f>
        <v>0</v>
      </c>
      <c r="N33" s="38">
        <f t="shared" si="13"/>
        <v>784162745</v>
      </c>
      <c r="P33" s="427">
        <f aca="true" t="shared" si="14" ref="P33:V33">SUM(P34:P48)</f>
        <v>258926191</v>
      </c>
      <c r="Q33" s="29">
        <f t="shared" si="14"/>
        <v>134856240</v>
      </c>
      <c r="R33" s="29">
        <f t="shared" si="14"/>
        <v>135026352</v>
      </c>
      <c r="S33" s="29">
        <f t="shared" si="14"/>
        <v>185686119</v>
      </c>
      <c r="T33" s="519">
        <f t="shared" si="14"/>
        <v>0</v>
      </c>
      <c r="U33" s="533">
        <f t="shared" si="14"/>
        <v>714494902</v>
      </c>
      <c r="V33" s="461">
        <f t="shared" si="14"/>
        <v>69667843</v>
      </c>
    </row>
    <row r="34" spans="2:22" ht="15">
      <c r="B34" s="26" t="s">
        <v>125</v>
      </c>
      <c r="C34" s="28">
        <v>169310000</v>
      </c>
      <c r="D34" s="28"/>
      <c r="E34" s="28">
        <v>30000000</v>
      </c>
      <c r="F34" s="28"/>
      <c r="G34" s="28"/>
      <c r="H34" s="28"/>
      <c r="I34" s="28">
        <f>-25998066+120000</f>
        <v>-25878066</v>
      </c>
      <c r="J34" s="28"/>
      <c r="K34" s="28"/>
      <c r="L34" s="28"/>
      <c r="M34" s="28"/>
      <c r="N34" s="51">
        <f aca="true" t="shared" si="15" ref="N34:N48">SUM(C34:M34)</f>
        <v>173431934</v>
      </c>
      <c r="P34" s="426">
        <v>107742062</v>
      </c>
      <c r="Q34" s="28">
        <v>25630881</v>
      </c>
      <c r="R34" s="28">
        <f>+'[4]FUNCIONAMIENTO'!$K$136+'[4]FUN - RECAUDO'!$K$144</f>
        <v>17230824</v>
      </c>
      <c r="S34" s="28">
        <f>+'[5]FUNCIONAMIENTO'!$K$155+'[5]FUN - RECAUDO'!$K$169</f>
        <v>15776600</v>
      </c>
      <c r="T34" s="518"/>
      <c r="U34" s="531">
        <f aca="true" t="shared" si="16" ref="U34:U47">SUM(P34:T34)</f>
        <v>166380367</v>
      </c>
      <c r="V34" s="459">
        <f aca="true" t="shared" si="17" ref="V34:V48">+N34-U34</f>
        <v>7051567</v>
      </c>
    </row>
    <row r="35" spans="2:22" ht="15">
      <c r="B35" s="26" t="s">
        <v>36</v>
      </c>
      <c r="C35" s="28">
        <v>0</v>
      </c>
      <c r="D35" s="28"/>
      <c r="E35" s="28"/>
      <c r="F35" s="28"/>
      <c r="G35" s="28"/>
      <c r="H35" s="28"/>
      <c r="I35" s="28">
        <v>0</v>
      </c>
      <c r="J35" s="28"/>
      <c r="K35" s="28"/>
      <c r="L35" s="28"/>
      <c r="M35" s="28"/>
      <c r="N35" s="51">
        <f t="shared" si="15"/>
        <v>0</v>
      </c>
      <c r="P35" s="426">
        <v>0</v>
      </c>
      <c r="Q35" s="28">
        <v>0</v>
      </c>
      <c r="R35" s="28">
        <v>0</v>
      </c>
      <c r="S35" s="28">
        <v>0</v>
      </c>
      <c r="T35" s="518"/>
      <c r="U35" s="531">
        <f t="shared" si="16"/>
        <v>0</v>
      </c>
      <c r="V35" s="459">
        <f t="shared" si="17"/>
        <v>0</v>
      </c>
    </row>
    <row r="36" spans="2:22" ht="15">
      <c r="B36" s="26" t="s">
        <v>37</v>
      </c>
      <c r="C36" s="28">
        <v>20889704</v>
      </c>
      <c r="D36" s="28"/>
      <c r="E36" s="28">
        <v>878611</v>
      </c>
      <c r="F36" s="28">
        <v>1300000</v>
      </c>
      <c r="G36" s="28"/>
      <c r="H36" s="28"/>
      <c r="I36" s="28">
        <v>-4362150</v>
      </c>
      <c r="J36" s="28"/>
      <c r="K36" s="28"/>
      <c r="L36" s="28"/>
      <c r="M36" s="28"/>
      <c r="N36" s="51">
        <f t="shared" si="15"/>
        <v>18706165</v>
      </c>
      <c r="P36" s="426">
        <v>4888947</v>
      </c>
      <c r="Q36" s="28">
        <v>4465321</v>
      </c>
      <c r="R36" s="28">
        <f>+'[4]FUNCIONAMIENTO'!$K$157+'[4]FUN - RECAUDO'!$K$170</f>
        <v>4465321</v>
      </c>
      <c r="S36" s="28">
        <f>+'[5]FUNCIONAMIENTO'!$K$172+'[5]FUN - RECAUDO'!$K$199</f>
        <v>4465323</v>
      </c>
      <c r="T36" s="518"/>
      <c r="U36" s="531">
        <f t="shared" si="16"/>
        <v>18284912</v>
      </c>
      <c r="V36" s="459">
        <f t="shared" si="17"/>
        <v>421253</v>
      </c>
    </row>
    <row r="37" spans="2:22" ht="15">
      <c r="B37" s="26" t="s">
        <v>3</v>
      </c>
      <c r="C37" s="28">
        <v>9364536</v>
      </c>
      <c r="D37" s="28"/>
      <c r="E37" s="28">
        <v>4000000</v>
      </c>
      <c r="F37" s="28"/>
      <c r="G37" s="28"/>
      <c r="H37" s="28"/>
      <c r="I37" s="28">
        <v>0</v>
      </c>
      <c r="J37" s="28"/>
      <c r="K37" s="28"/>
      <c r="L37" s="28"/>
      <c r="M37" s="28"/>
      <c r="N37" s="51">
        <f t="shared" si="15"/>
        <v>13364536</v>
      </c>
      <c r="P37" s="426">
        <v>2341134</v>
      </c>
      <c r="Q37" s="28">
        <v>2341134</v>
      </c>
      <c r="R37" s="28">
        <f>+'[4]FUN - RECAUDO'!$K$187</f>
        <v>629630</v>
      </c>
      <c r="S37" s="28">
        <f>+'[5]FUN - RECAUDO'!$K$216</f>
        <v>4785500</v>
      </c>
      <c r="T37" s="518"/>
      <c r="U37" s="531">
        <f t="shared" si="16"/>
        <v>10097398</v>
      </c>
      <c r="V37" s="459">
        <f t="shared" si="17"/>
        <v>3267138</v>
      </c>
    </row>
    <row r="38" spans="2:22" ht="15">
      <c r="B38" s="26" t="s">
        <v>4</v>
      </c>
      <c r="C38" s="28">
        <v>287971406</v>
      </c>
      <c r="D38" s="28"/>
      <c r="E38" s="28">
        <v>15781772</v>
      </c>
      <c r="F38" s="17">
        <f>-933000-1300000</f>
        <v>-2233000</v>
      </c>
      <c r="G38" s="28"/>
      <c r="H38" s="28"/>
      <c r="I38" s="28">
        <v>-32400492</v>
      </c>
      <c r="J38" s="28"/>
      <c r="K38" s="28">
        <v>-3360000</v>
      </c>
      <c r="L38" s="28"/>
      <c r="M38" s="17">
        <v>-9000000</v>
      </c>
      <c r="N38" s="51">
        <f t="shared" si="15"/>
        <v>256759686</v>
      </c>
      <c r="P38" s="426">
        <v>39660869</v>
      </c>
      <c r="Q38" s="28">
        <v>59700432</v>
      </c>
      <c r="R38" s="28">
        <f>+'[4]FUNCIONAMIENTO'!$K$178+'[4]FUN - RECAUDO'!$K$192</f>
        <v>52802170</v>
      </c>
      <c r="S38" s="28">
        <f>+'[5]FUNCIONAMIENTO'!$K$190+'[5]FUN - RECAUDO'!$K$222</f>
        <v>75203051</v>
      </c>
      <c r="T38" s="518"/>
      <c r="U38" s="531">
        <f t="shared" si="16"/>
        <v>227366522</v>
      </c>
      <c r="V38" s="459">
        <f t="shared" si="17"/>
        <v>29393164</v>
      </c>
    </row>
    <row r="39" spans="2:22" ht="15">
      <c r="B39" s="26" t="s">
        <v>5</v>
      </c>
      <c r="C39" s="28">
        <v>54469348</v>
      </c>
      <c r="D39" s="28"/>
      <c r="E39" s="28">
        <v>612619</v>
      </c>
      <c r="F39" s="17">
        <v>933000</v>
      </c>
      <c r="G39" s="28"/>
      <c r="H39" s="28"/>
      <c r="I39" s="28">
        <v>0</v>
      </c>
      <c r="J39" s="28"/>
      <c r="K39" s="28"/>
      <c r="L39" s="28"/>
      <c r="M39" s="17"/>
      <c r="N39" s="51">
        <f t="shared" si="15"/>
        <v>56014967</v>
      </c>
      <c r="P39" s="426">
        <v>30704616</v>
      </c>
      <c r="Q39" s="28">
        <v>933000</v>
      </c>
      <c r="R39" s="28">
        <f>+'[4]FUNCIONAMIENTO'!$K$171+'[4]FUN - RECAUDO'!$K$270</f>
        <v>23206161</v>
      </c>
      <c r="S39" s="28">
        <f>+'[5]FUNCIONAMIENTO'!$K$185</f>
        <v>153900</v>
      </c>
      <c r="T39" s="518"/>
      <c r="U39" s="531">
        <f t="shared" si="16"/>
        <v>54997677</v>
      </c>
      <c r="V39" s="459">
        <f t="shared" si="17"/>
        <v>1017290</v>
      </c>
    </row>
    <row r="40" spans="2:22" ht="15">
      <c r="B40" s="26" t="s">
        <v>38</v>
      </c>
      <c r="C40" s="28">
        <v>0</v>
      </c>
      <c r="D40" s="28"/>
      <c r="E40" s="28"/>
      <c r="F40" s="28"/>
      <c r="G40" s="28"/>
      <c r="H40" s="28"/>
      <c r="I40" s="28">
        <v>0</v>
      </c>
      <c r="J40" s="28"/>
      <c r="K40" s="28"/>
      <c r="L40" s="28"/>
      <c r="M40" s="17"/>
      <c r="N40" s="51">
        <f t="shared" si="15"/>
        <v>0</v>
      </c>
      <c r="P40" s="426">
        <v>0</v>
      </c>
      <c r="Q40" s="28">
        <v>0</v>
      </c>
      <c r="R40" s="28">
        <v>0</v>
      </c>
      <c r="S40" s="28">
        <v>0</v>
      </c>
      <c r="T40" s="518"/>
      <c r="U40" s="531">
        <f t="shared" si="16"/>
        <v>0</v>
      </c>
      <c r="V40" s="459">
        <f t="shared" si="17"/>
        <v>0</v>
      </c>
    </row>
    <row r="41" spans="2:22" ht="15">
      <c r="B41" s="26" t="s">
        <v>6</v>
      </c>
      <c r="C41" s="28">
        <v>20084584</v>
      </c>
      <c r="D41" s="28"/>
      <c r="E41" s="28">
        <v>496462</v>
      </c>
      <c r="F41" s="28"/>
      <c r="G41" s="28"/>
      <c r="H41" s="28"/>
      <c r="I41" s="28">
        <v>0</v>
      </c>
      <c r="J41" s="28"/>
      <c r="K41" s="28">
        <v>3360000</v>
      </c>
      <c r="L41" s="28"/>
      <c r="M41" s="17"/>
      <c r="N41" s="51">
        <f t="shared" si="15"/>
        <v>23941046</v>
      </c>
      <c r="P41" s="426">
        <v>10580123</v>
      </c>
      <c r="Q41" s="28">
        <v>3904499</v>
      </c>
      <c r="R41" s="28">
        <f>+'[4]FUNCIONAMIENTO'!$K$145+'[4]FUN - RECAUDO'!$K$161</f>
        <v>2569761</v>
      </c>
      <c r="S41" s="28">
        <f>+'[5]FUN - RECAUDO'!$K$188+'[5]FUNCIONAMIENTO'!$K$164</f>
        <v>5640808</v>
      </c>
      <c r="T41" s="518"/>
      <c r="U41" s="531">
        <f t="shared" si="16"/>
        <v>22695191</v>
      </c>
      <c r="V41" s="459">
        <f t="shared" si="17"/>
        <v>1245855</v>
      </c>
    </row>
    <row r="42" spans="2:22" ht="15">
      <c r="B42" s="26" t="s">
        <v>89</v>
      </c>
      <c r="C42" s="28">
        <v>42047283</v>
      </c>
      <c r="D42" s="28"/>
      <c r="E42" s="28">
        <v>228569</v>
      </c>
      <c r="F42" s="28"/>
      <c r="G42" s="28"/>
      <c r="H42" s="28"/>
      <c r="I42" s="28">
        <v>-20326333</v>
      </c>
      <c r="J42" s="28"/>
      <c r="K42" s="28"/>
      <c r="L42" s="28"/>
      <c r="M42" s="28"/>
      <c r="N42" s="51">
        <f t="shared" si="15"/>
        <v>21949519</v>
      </c>
      <c r="P42" s="426">
        <v>17261567</v>
      </c>
      <c r="Q42" s="28">
        <v>8125</v>
      </c>
      <c r="R42" s="28">
        <f>+'[4]FUNCIONAMIENTO'!$K$154+'[4]FUN - RECAUDO'!$K$154</f>
        <v>1143657</v>
      </c>
      <c r="S42" s="28">
        <f>+'[5]FUN - RECAUDO'!$K$181</f>
        <v>1586925</v>
      </c>
      <c r="T42" s="518"/>
      <c r="U42" s="531">
        <f t="shared" si="16"/>
        <v>20000274</v>
      </c>
      <c r="V42" s="459">
        <f t="shared" si="17"/>
        <v>1949245</v>
      </c>
    </row>
    <row r="43" spans="2:22" ht="15">
      <c r="B43" s="26" t="s">
        <v>39</v>
      </c>
      <c r="C43" s="28">
        <v>4238614</v>
      </c>
      <c r="D43" s="28"/>
      <c r="E43" s="28">
        <v>160211</v>
      </c>
      <c r="F43" s="28"/>
      <c r="G43" s="28"/>
      <c r="H43" s="28"/>
      <c r="I43" s="28">
        <v>-624446</v>
      </c>
      <c r="J43" s="28"/>
      <c r="K43" s="28"/>
      <c r="L43" s="28"/>
      <c r="M43" s="28"/>
      <c r="N43" s="51">
        <f t="shared" si="15"/>
        <v>3774379</v>
      </c>
      <c r="P43" s="426">
        <v>760644</v>
      </c>
      <c r="Q43" s="28">
        <v>276788</v>
      </c>
      <c r="R43" s="28">
        <f>+'[4]FUNCIONAMIENTO'!$K$227+'[4]FUN - RECAUDO'!$K$338</f>
        <v>404932</v>
      </c>
      <c r="S43" s="28">
        <f>+'[5]FUN - RECAUDO'!$K$345+'[5]FUNCIONAMIENTO'!$K$239</f>
        <v>969039</v>
      </c>
      <c r="T43" s="518"/>
      <c r="U43" s="531">
        <f t="shared" si="16"/>
        <v>2411403</v>
      </c>
      <c r="V43" s="459">
        <f t="shared" si="17"/>
        <v>1362976</v>
      </c>
    </row>
    <row r="44" spans="2:22" ht="15">
      <c r="B44" s="26" t="s">
        <v>40</v>
      </c>
      <c r="C44" s="28">
        <v>64350000</v>
      </c>
      <c r="D44" s="28"/>
      <c r="E44" s="28"/>
      <c r="F44" s="28"/>
      <c r="G44" s="28"/>
      <c r="H44" s="28"/>
      <c r="I44" s="28">
        <v>0</v>
      </c>
      <c r="J44" s="28"/>
      <c r="K44" s="28"/>
      <c r="L44" s="28"/>
      <c r="M44" s="28">
        <v>9000000</v>
      </c>
      <c r="N44" s="51">
        <f t="shared" si="15"/>
        <v>73350000</v>
      </c>
      <c r="P44" s="426">
        <v>8737275</v>
      </c>
      <c r="Q44" s="28">
        <v>19561406</v>
      </c>
      <c r="R44" s="28">
        <f>+'[4]FUN - RECAUDO'!$K$314</f>
        <v>14375080</v>
      </c>
      <c r="S44" s="28">
        <f>+'[5]FUN - RECAUDO'!$K$319</f>
        <v>26168297</v>
      </c>
      <c r="T44" s="518"/>
      <c r="U44" s="531">
        <f t="shared" si="16"/>
        <v>68842058</v>
      </c>
      <c r="V44" s="459">
        <f t="shared" si="17"/>
        <v>4507942</v>
      </c>
    </row>
    <row r="45" spans="2:22" ht="15">
      <c r="B45" s="26" t="s">
        <v>41</v>
      </c>
      <c r="C45" s="28">
        <v>42620336</v>
      </c>
      <c r="D45" s="28"/>
      <c r="E45" s="28"/>
      <c r="F45" s="28"/>
      <c r="G45" s="28"/>
      <c r="H45" s="28"/>
      <c r="I45" s="28">
        <v>0</v>
      </c>
      <c r="J45" s="28"/>
      <c r="K45" s="28"/>
      <c r="L45" s="28"/>
      <c r="M45" s="28"/>
      <c r="N45" s="51">
        <f t="shared" si="15"/>
        <v>42620336</v>
      </c>
      <c r="P45" s="426">
        <v>10655084</v>
      </c>
      <c r="Q45" s="28">
        <v>10655084</v>
      </c>
      <c r="R45" s="28">
        <f>+'[4]FUNCIONAMIENTO'!$K$166+'[4]FUN - RECAUDO'!$K$182</f>
        <v>10655085</v>
      </c>
      <c r="S45" s="28">
        <f>+'[5]FUN - RECAUDO'!$K$211+'[5]FUNCIONAMIENTO'!$K$180</f>
        <v>10655083</v>
      </c>
      <c r="T45" s="518">
        <v>0</v>
      </c>
      <c r="U45" s="531">
        <f t="shared" si="16"/>
        <v>42620336</v>
      </c>
      <c r="V45" s="459">
        <f t="shared" si="17"/>
        <v>0</v>
      </c>
    </row>
    <row r="46" spans="2:22" ht="15">
      <c r="B46" s="26" t="s">
        <v>10</v>
      </c>
      <c r="C46" s="28">
        <v>35000000</v>
      </c>
      <c r="D46" s="28"/>
      <c r="E46" s="28"/>
      <c r="F46" s="28"/>
      <c r="G46" s="28"/>
      <c r="H46" s="28"/>
      <c r="I46" s="28">
        <v>0</v>
      </c>
      <c r="J46" s="28"/>
      <c r="K46" s="28"/>
      <c r="L46" s="28"/>
      <c r="M46" s="28"/>
      <c r="N46" s="51">
        <f t="shared" si="15"/>
        <v>35000000</v>
      </c>
      <c r="P46" s="426">
        <v>0</v>
      </c>
      <c r="Q46" s="28">
        <v>0</v>
      </c>
      <c r="R46" s="28">
        <v>0</v>
      </c>
      <c r="S46" s="28">
        <f>+'[5]FUNCIONAMIENTO'!$K$279</f>
        <v>27126122</v>
      </c>
      <c r="T46" s="518"/>
      <c r="U46" s="531">
        <f>SUM(P46:T46)</f>
        <v>27126122</v>
      </c>
      <c r="V46" s="459">
        <f>+N46-U46</f>
        <v>7873878</v>
      </c>
    </row>
    <row r="47" spans="2:22" ht="15">
      <c r="B47" s="152" t="str">
        <f>+'[3]ACUERDO 24 SOLICITUD 2020'!B73</f>
        <v>Seguros, impuestos y gastos legales</v>
      </c>
      <c r="C47" s="28">
        <v>2531424</v>
      </c>
      <c r="D47" s="28"/>
      <c r="E47" s="28">
        <v>3000000</v>
      </c>
      <c r="F47" s="28"/>
      <c r="G47" s="28"/>
      <c r="H47" s="28"/>
      <c r="I47" s="28">
        <v>-39210</v>
      </c>
      <c r="J47" s="28"/>
      <c r="K47" s="28"/>
      <c r="L47" s="28"/>
      <c r="M47" s="28"/>
      <c r="N47" s="51">
        <f t="shared" si="15"/>
        <v>5492214</v>
      </c>
      <c r="P47" s="426">
        <v>550800</v>
      </c>
      <c r="Q47" s="28">
        <v>1214790</v>
      </c>
      <c r="R47" s="28">
        <f>+'[4]FUN - RECAUDO'!$K$348</f>
        <v>471600</v>
      </c>
      <c r="S47" s="28">
        <f>+'[5]FUN - RECAUDO'!$K$355</f>
        <v>1461600</v>
      </c>
      <c r="T47" s="518"/>
      <c r="U47" s="531">
        <f t="shared" si="16"/>
        <v>3698790</v>
      </c>
      <c r="V47" s="459">
        <f t="shared" si="17"/>
        <v>1793424</v>
      </c>
    </row>
    <row r="48" spans="2:22" ht="15.75" thickBot="1">
      <c r="B48" s="30" t="s">
        <v>42</v>
      </c>
      <c r="C48" s="419">
        <v>60997865</v>
      </c>
      <c r="D48" s="419"/>
      <c r="E48" s="419">
        <v>1026297</v>
      </c>
      <c r="F48" s="419"/>
      <c r="G48" s="419"/>
      <c r="H48" s="419"/>
      <c r="I48" s="419">
        <v>-2266199</v>
      </c>
      <c r="J48" s="419"/>
      <c r="K48" s="419"/>
      <c r="L48" s="419"/>
      <c r="M48" s="419"/>
      <c r="N48" s="51">
        <f t="shared" si="15"/>
        <v>59757963</v>
      </c>
      <c r="P48" s="428">
        <v>25043070</v>
      </c>
      <c r="Q48" s="419">
        <v>6164780</v>
      </c>
      <c r="R48" s="419">
        <f>+'[4]FUNCIONAMIENTO'!$K$232</f>
        <v>7072131</v>
      </c>
      <c r="S48" s="419">
        <f>+'[5]FUNCIONAMIENTO'!$K$248</f>
        <v>11693871</v>
      </c>
      <c r="T48" s="520"/>
      <c r="U48" s="531">
        <f>SUM(P48:T48)</f>
        <v>49973852</v>
      </c>
      <c r="V48" s="459">
        <f t="shared" si="17"/>
        <v>9784111</v>
      </c>
    </row>
    <row r="49" spans="2:22" ht="15.75" thickBot="1">
      <c r="B49" s="32" t="s">
        <v>111</v>
      </c>
      <c r="C49" s="33">
        <f aca="true" t="shared" si="18" ref="C49:N49">+C50</f>
        <v>838212641.605054</v>
      </c>
      <c r="D49" s="33">
        <f t="shared" si="18"/>
        <v>0</v>
      </c>
      <c r="E49" s="33">
        <f t="shared" si="18"/>
        <v>0</v>
      </c>
      <c r="F49" s="33">
        <f t="shared" si="18"/>
        <v>0</v>
      </c>
      <c r="G49" s="33">
        <f t="shared" si="18"/>
        <v>150000000</v>
      </c>
      <c r="H49" s="33">
        <f t="shared" si="18"/>
        <v>0</v>
      </c>
      <c r="I49" s="33">
        <f t="shared" si="18"/>
        <v>-11704203.9</v>
      </c>
      <c r="J49" s="33">
        <f t="shared" si="18"/>
        <v>0</v>
      </c>
      <c r="K49" s="33">
        <f t="shared" si="18"/>
        <v>0</v>
      </c>
      <c r="L49" s="33">
        <f t="shared" si="18"/>
        <v>71085813.5</v>
      </c>
      <c r="M49" s="33">
        <f t="shared" si="18"/>
        <v>0</v>
      </c>
      <c r="N49" s="34">
        <f t="shared" si="18"/>
        <v>1047594251.2050539</v>
      </c>
      <c r="P49" s="429">
        <f aca="true" t="shared" si="19" ref="P49:V49">+P50</f>
        <v>312343680</v>
      </c>
      <c r="Q49" s="33">
        <f t="shared" si="19"/>
        <v>257203078.70000002</v>
      </c>
      <c r="R49" s="33">
        <f t="shared" si="19"/>
        <v>244106665</v>
      </c>
      <c r="S49" s="33">
        <f t="shared" si="19"/>
        <v>288282206</v>
      </c>
      <c r="T49" s="521">
        <f t="shared" si="19"/>
        <v>0.3</v>
      </c>
      <c r="U49" s="534">
        <f t="shared" si="19"/>
        <v>1101935630</v>
      </c>
      <c r="V49" s="462">
        <f t="shared" si="19"/>
        <v>-54341378.794946074</v>
      </c>
    </row>
    <row r="50" spans="2:22" ht="15">
      <c r="B50" s="35" t="s">
        <v>43</v>
      </c>
      <c r="C50" s="36">
        <f aca="true" t="shared" si="20" ref="C50:Q50">(+C11+C12)*10%</f>
        <v>838212641.605054</v>
      </c>
      <c r="D50" s="36">
        <f t="shared" si="20"/>
        <v>0</v>
      </c>
      <c r="E50" s="36">
        <f t="shared" si="20"/>
        <v>0</v>
      </c>
      <c r="F50" s="36">
        <f t="shared" si="20"/>
        <v>0</v>
      </c>
      <c r="G50" s="36">
        <f>(+G11+G12)*10%</f>
        <v>150000000</v>
      </c>
      <c r="H50" s="36">
        <f t="shared" si="20"/>
        <v>0</v>
      </c>
      <c r="I50" s="36">
        <f>(+I11+I12)*10%</f>
        <v>-11704203.9</v>
      </c>
      <c r="J50" s="36">
        <f>(+J11+J12)*10%</f>
        <v>0</v>
      </c>
      <c r="K50" s="36">
        <f>(+K11+K12)*10%</f>
        <v>0</v>
      </c>
      <c r="L50" s="36">
        <f>(+L11+L12)*10%</f>
        <v>71085813.5</v>
      </c>
      <c r="M50" s="36">
        <f>(+M11+M12)*10%</f>
        <v>0</v>
      </c>
      <c r="N50" s="420">
        <f t="shared" si="20"/>
        <v>1047594251.2050539</v>
      </c>
      <c r="P50" s="430">
        <v>312343680</v>
      </c>
      <c r="Q50" s="36">
        <f t="shared" si="20"/>
        <v>257203078.70000002</v>
      </c>
      <c r="R50" s="36">
        <f>+'[4]FUNCIONAMIENTO'!$K$262</f>
        <v>244106665</v>
      </c>
      <c r="S50" s="36">
        <f>+'[5]FUNCIONAMIENTO'!$K$284</f>
        <v>288282206</v>
      </c>
      <c r="T50" s="522">
        <v>0.3</v>
      </c>
      <c r="U50" s="535">
        <f>SUM(P50:T50)</f>
        <v>1101935630</v>
      </c>
      <c r="V50" s="463">
        <f>+N50-U50</f>
        <v>-54341378.794946074</v>
      </c>
    </row>
    <row r="51" spans="2:22" ht="15.75" customHeight="1">
      <c r="B51" s="24" t="s">
        <v>112</v>
      </c>
      <c r="C51" s="21">
        <f aca="true" t="shared" si="21" ref="C51:N51">+C52+C64+C82</f>
        <v>12087635111.119999</v>
      </c>
      <c r="D51" s="21">
        <f t="shared" si="21"/>
        <v>0</v>
      </c>
      <c r="E51" s="21">
        <f t="shared" si="21"/>
        <v>224171828.4984267</v>
      </c>
      <c r="F51" s="21">
        <f t="shared" si="21"/>
        <v>0</v>
      </c>
      <c r="G51" s="21">
        <f>+G52+G64+G82</f>
        <v>0</v>
      </c>
      <c r="H51" s="21">
        <f t="shared" si="21"/>
        <v>-106750000</v>
      </c>
      <c r="I51" s="21">
        <f>+I52+I64+I82</f>
        <v>-226003914</v>
      </c>
      <c r="J51" s="21">
        <f>+J52+J64+J82</f>
        <v>0</v>
      </c>
      <c r="K51" s="21">
        <f>+K52+K64+K82</f>
        <v>0</v>
      </c>
      <c r="L51" s="21">
        <f>+L52+L64+L82</f>
        <v>0</v>
      </c>
      <c r="M51" s="21">
        <f>+M52+M64+M82</f>
        <v>0</v>
      </c>
      <c r="N51" s="22">
        <f t="shared" si="21"/>
        <v>11979053025.618427</v>
      </c>
      <c r="P51" s="424">
        <f aca="true" t="shared" si="22" ref="P51:V51">+P52+P64+P82</f>
        <v>1681947820.16</v>
      </c>
      <c r="Q51" s="21">
        <f t="shared" si="22"/>
        <v>3019904874.99</v>
      </c>
      <c r="R51" s="21">
        <f t="shared" si="22"/>
        <v>3152556896</v>
      </c>
      <c r="S51" s="21">
        <f t="shared" si="22"/>
        <v>3704441779</v>
      </c>
      <c r="T51" s="516">
        <f t="shared" si="22"/>
        <v>2.7755575615628914E-17</v>
      </c>
      <c r="U51" s="532">
        <f t="shared" si="22"/>
        <v>11558851370.15</v>
      </c>
      <c r="V51" s="460">
        <f t="shared" si="22"/>
        <v>420201655.4684267</v>
      </c>
    </row>
    <row r="52" spans="2:22" ht="15.75" customHeight="1">
      <c r="B52" s="25" t="s">
        <v>7</v>
      </c>
      <c r="C52" s="29">
        <f aca="true" t="shared" si="23" ref="C52:H52">SUM(C53:C63)</f>
        <v>3485691864</v>
      </c>
      <c r="D52" s="29">
        <f t="shared" si="23"/>
        <v>0</v>
      </c>
      <c r="E52" s="29">
        <f t="shared" si="23"/>
        <v>166896905.49842668</v>
      </c>
      <c r="F52" s="29">
        <f t="shared" si="23"/>
        <v>0</v>
      </c>
      <c r="G52" s="29">
        <f>SUM(G53:G63)</f>
        <v>0</v>
      </c>
      <c r="H52" s="29">
        <f t="shared" si="23"/>
        <v>-50200000</v>
      </c>
      <c r="I52" s="29">
        <f aca="true" t="shared" si="24" ref="I52:N52">SUM(I53:I63)</f>
        <v>-73880798</v>
      </c>
      <c r="J52" s="29">
        <f t="shared" si="24"/>
        <v>0</v>
      </c>
      <c r="K52" s="29">
        <f t="shared" si="24"/>
        <v>0</v>
      </c>
      <c r="L52" s="29">
        <f t="shared" si="24"/>
        <v>0</v>
      </c>
      <c r="M52" s="29">
        <f t="shared" si="24"/>
        <v>0</v>
      </c>
      <c r="N52" s="38">
        <f t="shared" si="24"/>
        <v>3528507971.4984264</v>
      </c>
      <c r="P52" s="427">
        <f aca="true" t="shared" si="25" ref="P52:V52">SUM(P53:P63)</f>
        <v>682811191</v>
      </c>
      <c r="Q52" s="29">
        <f t="shared" si="25"/>
        <v>857697380</v>
      </c>
      <c r="R52" s="29">
        <f t="shared" si="25"/>
        <v>881884575</v>
      </c>
      <c r="S52" s="29">
        <f t="shared" si="25"/>
        <v>939536264</v>
      </c>
      <c r="T52" s="519">
        <f t="shared" si="25"/>
        <v>0</v>
      </c>
      <c r="U52" s="533">
        <f t="shared" si="25"/>
        <v>3361929410</v>
      </c>
      <c r="V52" s="461">
        <f t="shared" si="25"/>
        <v>166578561.49842668</v>
      </c>
    </row>
    <row r="53" spans="2:22" ht="15.75" customHeight="1">
      <c r="B53" s="40" t="s">
        <v>27</v>
      </c>
      <c r="C53" s="28">
        <v>1666601192</v>
      </c>
      <c r="D53" s="28"/>
      <c r="E53" s="28">
        <v>104786853</v>
      </c>
      <c r="F53" s="28"/>
      <c r="G53" s="28"/>
      <c r="H53" s="28"/>
      <c r="I53" s="28">
        <v>0</v>
      </c>
      <c r="J53" s="28"/>
      <c r="K53" s="28"/>
      <c r="L53" s="28"/>
      <c r="M53" s="28"/>
      <c r="N53" s="51">
        <f aca="true" t="shared" si="26" ref="N53:N63">SUM(C53:M53)</f>
        <v>1771388045</v>
      </c>
      <c r="P53" s="426">
        <v>369922344</v>
      </c>
      <c r="Q53" s="28">
        <v>448190488</v>
      </c>
      <c r="R53" s="501">
        <f>+'[4]ITPA'!$K$71+'[4]MEJORAMIENTO GENETICO'!$K$54+'[4]CAMPAÑA DE CONSUMO'!$K$59+'[4]SISTEMAS DE INFORMACION'!$K$50+'[4]DIVULGACIÓN'!$K$50+'[4]ASOCIATIVIDAD'!$K$53</f>
        <v>437840712</v>
      </c>
      <c r="S53" s="28">
        <f>+'[5]ITPA'!$K$82+'[5]GENETICO'!$K$62+'[5]CAMPAÑA DE CONSUMO'!$K$69+'[5]SISTEMAS DE INFORMACION'!$K$60+'[5]DIVULGACIÓN'!$K$61+'[5]ASOCIATIVIDAD'!$K$64</f>
        <v>433479108</v>
      </c>
      <c r="T53" s="518"/>
      <c r="U53" s="531">
        <f>SUM(P53:T53)</f>
        <v>1689432652</v>
      </c>
      <c r="V53" s="459">
        <f aca="true" t="shared" si="27" ref="V53:V63">+N53-U53</f>
        <v>81955393</v>
      </c>
    </row>
    <row r="54" spans="2:22" ht="15.75" customHeight="1">
      <c r="B54" s="40" t="s">
        <v>28</v>
      </c>
      <c r="C54" s="28">
        <v>68340222</v>
      </c>
      <c r="D54" s="28"/>
      <c r="E54" s="28">
        <v>5027833</v>
      </c>
      <c r="F54" s="28"/>
      <c r="G54" s="28"/>
      <c r="H54" s="28"/>
      <c r="I54" s="28">
        <v>0</v>
      </c>
      <c r="J54" s="28"/>
      <c r="K54" s="28"/>
      <c r="L54" s="28"/>
      <c r="M54" s="28"/>
      <c r="N54" s="51">
        <f t="shared" si="26"/>
        <v>73368055</v>
      </c>
      <c r="P54" s="426">
        <v>15757183</v>
      </c>
      <c r="Q54" s="28">
        <v>18566767</v>
      </c>
      <c r="R54" s="501">
        <f>+'[4]ITPA'!$K$76+'[4]MEJORAMIENTO GENETICO'!$K$59+'[4]CAMPAÑA DE CONSUMO'!$K$64+'[4]SISTEMAS DE INFORMACION'!$K$55+'[4]DIVULGACIÓN'!$K$55+'[4]ASOCIATIVIDAD'!$K$58</f>
        <v>18291912</v>
      </c>
      <c r="S54" s="28">
        <f>+'[5]ITPA'!$K$89+'[5]GENETICO'!$K$68+'[5]CAMPAÑA DE CONSUMO'!$K$75+'[5]SISTEMAS DE INFORMACION'!$K$66+'[5]DIVULGACIÓN'!$K$67+'[5]ASOCIATIVIDAD'!$K$71</f>
        <v>19342035</v>
      </c>
      <c r="T54" s="518"/>
      <c r="U54" s="531">
        <f aca="true" t="shared" si="28" ref="U54:U63">SUM(P54:T54)</f>
        <v>71957897</v>
      </c>
      <c r="V54" s="459">
        <f t="shared" si="27"/>
        <v>1410158</v>
      </c>
    </row>
    <row r="55" spans="2:22" ht="15.75" customHeight="1">
      <c r="B55" s="40" t="s">
        <v>49</v>
      </c>
      <c r="C55" s="28">
        <v>3086664</v>
      </c>
      <c r="D55" s="28"/>
      <c r="E55" s="28">
        <v>278516.4984266665</v>
      </c>
      <c r="F55" s="28"/>
      <c r="G55" s="28"/>
      <c r="H55" s="28"/>
      <c r="I55" s="28">
        <v>0</v>
      </c>
      <c r="J55" s="28"/>
      <c r="K55" s="28"/>
      <c r="L55" s="28"/>
      <c r="M55" s="28"/>
      <c r="N55" s="51">
        <f t="shared" si="26"/>
        <v>3365180.4984266665</v>
      </c>
      <c r="P55" s="426">
        <v>712403</v>
      </c>
      <c r="Q55" s="28">
        <v>843636</v>
      </c>
      <c r="R55" s="501">
        <f>+'[4]ITPA'!$K$81</f>
        <v>778020</v>
      </c>
      <c r="S55" s="28">
        <f>+'[5]ITPA'!$K$96</f>
        <v>843636</v>
      </c>
      <c r="T55" s="518"/>
      <c r="U55" s="531">
        <f t="shared" si="28"/>
        <v>3177695</v>
      </c>
      <c r="V55" s="459">
        <f t="shared" si="27"/>
        <v>187485.49842666648</v>
      </c>
    </row>
    <row r="56" spans="2:22" ht="15">
      <c r="B56" s="40" t="s">
        <v>29</v>
      </c>
      <c r="C56" s="28">
        <v>136680438</v>
      </c>
      <c r="D56" s="28"/>
      <c r="E56" s="28">
        <v>10055664</v>
      </c>
      <c r="F56" s="28"/>
      <c r="G56" s="28"/>
      <c r="H56" s="28"/>
      <c r="I56" s="28">
        <v>0</v>
      </c>
      <c r="J56" s="28"/>
      <c r="K56" s="28"/>
      <c r="L56" s="28"/>
      <c r="M56" s="28"/>
      <c r="N56" s="51">
        <f t="shared" si="26"/>
        <v>146736102</v>
      </c>
      <c r="P56" s="426">
        <v>31249255</v>
      </c>
      <c r="Q56" s="28">
        <v>37203835</v>
      </c>
      <c r="R56" s="501">
        <f>+'[4]ITPA'!$K$86+'[4]MEJORAMIENTO GENETICO'!$K$64+'[4]CAMPAÑA DE CONSUMO'!$K$69+'[4]SISTEMAS DE INFORMACION'!$K$60+'[4]DIVULGACIÓN'!$K$60+'[4]ASOCIATIVIDAD'!$K$63</f>
        <v>36648659</v>
      </c>
      <c r="S56" s="28">
        <f>+'[5]ITPA'!$K$101+'[5]GENETICO'!$K$74+'[5]CAMPAÑA DE CONSUMO'!$K$80+'[5]SISTEMAS DE INFORMACION'!$K$72+'[5]DIVULGACIÓN'!$K$73+'[5]ASOCIATIVIDAD'!$K$78</f>
        <v>36922213</v>
      </c>
      <c r="T56" s="518"/>
      <c r="U56" s="531">
        <f t="shared" si="28"/>
        <v>142023962</v>
      </c>
      <c r="V56" s="459">
        <f t="shared" si="27"/>
        <v>4712140</v>
      </c>
    </row>
    <row r="57" spans="2:22" ht="15">
      <c r="B57" s="40" t="s">
        <v>8</v>
      </c>
      <c r="C57" s="138">
        <v>903455910</v>
      </c>
      <c r="D57" s="138"/>
      <c r="E57" s="138">
        <v>705775</v>
      </c>
      <c r="F57" s="138"/>
      <c r="G57" s="138"/>
      <c r="H57" s="138">
        <v>-50200000</v>
      </c>
      <c r="I57" s="138">
        <v>-73723037</v>
      </c>
      <c r="J57" s="138"/>
      <c r="K57" s="138"/>
      <c r="L57" s="138"/>
      <c r="M57" s="138"/>
      <c r="N57" s="51">
        <f t="shared" si="26"/>
        <v>780238648</v>
      </c>
      <c r="P57" s="431">
        <v>108084478</v>
      </c>
      <c r="Q57" s="138">
        <v>166635688</v>
      </c>
      <c r="R57" s="502">
        <f>+'[4]MEJORAMIENTO GENETICO'!$K$69+'[4]SEMILLA CERTIFICADA'!$K$42+'[4]DIVULGACIÓN'!$K$65+'[4]ASOCIATIVIDAD'!$K$68+'[4]UNIDAD TECNICA POP'!$K$37</f>
        <v>202806355</v>
      </c>
      <c r="S57" s="138">
        <f>+'[5]GENETICO'!$K$80+'[5]SEMILLA CERT'!$K$42+'[5]ASOCIATIVIDAD'!$K$85+'[5]UGT POP'!$K$39</f>
        <v>256038023</v>
      </c>
      <c r="T57" s="523"/>
      <c r="U57" s="531">
        <f t="shared" si="28"/>
        <v>733564544</v>
      </c>
      <c r="V57" s="459">
        <f t="shared" si="27"/>
        <v>46674104</v>
      </c>
    </row>
    <row r="58" spans="2:22" ht="15">
      <c r="B58" s="40" t="s">
        <v>30</v>
      </c>
      <c r="C58" s="28">
        <v>3270000.0000000005</v>
      </c>
      <c r="D58" s="28"/>
      <c r="E58" s="28">
        <v>123599.99999999953</v>
      </c>
      <c r="F58" s="28"/>
      <c r="G58" s="28"/>
      <c r="H58" s="28"/>
      <c r="I58" s="28">
        <v>-157760.99999999953</v>
      </c>
      <c r="J58" s="28"/>
      <c r="K58" s="28"/>
      <c r="L58" s="28"/>
      <c r="M58" s="28"/>
      <c r="N58" s="51">
        <f t="shared" si="26"/>
        <v>3235839.0000000005</v>
      </c>
      <c r="P58" s="426">
        <v>3235839</v>
      </c>
      <c r="Q58" s="28">
        <v>0</v>
      </c>
      <c r="R58" s="501">
        <v>0</v>
      </c>
      <c r="S58" s="28">
        <v>0</v>
      </c>
      <c r="T58" s="518"/>
      <c r="U58" s="531">
        <f t="shared" si="28"/>
        <v>3235839</v>
      </c>
      <c r="V58" s="459">
        <f t="shared" si="27"/>
        <v>0</v>
      </c>
    </row>
    <row r="59" spans="2:22" ht="15">
      <c r="B59" s="40" t="s">
        <v>31</v>
      </c>
      <c r="C59" s="28">
        <v>136680438</v>
      </c>
      <c r="D59" s="28"/>
      <c r="E59" s="28">
        <v>10055664</v>
      </c>
      <c r="F59" s="28"/>
      <c r="G59" s="28"/>
      <c r="H59" s="28"/>
      <c r="I59" s="28">
        <v>0</v>
      </c>
      <c r="J59" s="28"/>
      <c r="K59" s="28"/>
      <c r="L59" s="28"/>
      <c r="M59" s="28"/>
      <c r="N59" s="51">
        <f t="shared" si="26"/>
        <v>146736102</v>
      </c>
      <c r="P59" s="426">
        <v>30992122</v>
      </c>
      <c r="Q59" s="28">
        <v>37203836</v>
      </c>
      <c r="R59" s="501">
        <f>+'[4]ITPA'!$K$91+'[4]MEJORAMIENTO GENETICO'!$K$103+'[4]CAMPAÑA DE CONSUMO'!$K$74+'[4]SISTEMAS DE INFORMACION'!$K$65+'[4]DIVULGACIÓN'!$K$70+'[4]ASOCIATIVIDAD'!$K$74</f>
        <v>36648657</v>
      </c>
      <c r="S59" s="28">
        <f>+'[5]ITPA'!$K$108+'[5]GENETICO'!$K$122+'[5]CAMPAÑA DE CONSUMO'!$K$85+'[5]SISTEMAS DE INFORMACION'!$K$78+'[5]DIVULGACIÓN'!$K$79+'[5]ASOCIATIVIDAD'!$K$95</f>
        <v>36805572</v>
      </c>
      <c r="T59" s="518"/>
      <c r="U59" s="531">
        <f t="shared" si="28"/>
        <v>141650187</v>
      </c>
      <c r="V59" s="459">
        <f t="shared" si="27"/>
        <v>5085915</v>
      </c>
    </row>
    <row r="60" spans="2:22" ht="15">
      <c r="B60" s="40" t="s">
        <v>32</v>
      </c>
      <c r="C60" s="28">
        <v>16402000</v>
      </c>
      <c r="D60" s="28"/>
      <c r="E60" s="28">
        <v>1208000</v>
      </c>
      <c r="F60" s="28"/>
      <c r="G60" s="28"/>
      <c r="H60" s="28"/>
      <c r="I60" s="28">
        <v>0</v>
      </c>
      <c r="J60" s="28"/>
      <c r="K60" s="28"/>
      <c r="L60" s="28"/>
      <c r="M60" s="28"/>
      <c r="N60" s="51">
        <f t="shared" si="26"/>
        <v>17610000</v>
      </c>
      <c r="P60" s="426">
        <v>776896</v>
      </c>
      <c r="Q60" s="28">
        <v>2879524</v>
      </c>
      <c r="R60" s="501">
        <f>+'[4]ITPA'!$K$96+'[4]MEJORAMIENTO GENETICO'!$K$108+'[4]CAMPAÑA DE CONSUMO'!$K$79+'[4]SISTEMAS DE INFORMACION'!$K$70+'[4]DIVULGACIÓN'!$K$75+'[4]ASOCIATIVIDAD'!$K$79</f>
        <v>4874321</v>
      </c>
      <c r="S60" s="28">
        <f>+'[5]ITPA'!$K$115+'[5]GENETICO'!$K$128+'[5]CAMPAÑA DE CONSUMO'!$K$90+'[5]SISTEMAS DE INFORMACION'!$K$84+'[5]DIVULGACIÓN'!$K$85+'[5]ASOCIATIVIDAD'!$K$102</f>
        <v>6867571</v>
      </c>
      <c r="T60" s="518"/>
      <c r="U60" s="531">
        <f t="shared" si="28"/>
        <v>15398312</v>
      </c>
      <c r="V60" s="459">
        <f t="shared" si="27"/>
        <v>2211688</v>
      </c>
    </row>
    <row r="61" spans="2:22" ht="15">
      <c r="B61" s="40" t="s">
        <v>33</v>
      </c>
      <c r="C61" s="28">
        <v>396230000</v>
      </c>
      <c r="D61" s="28"/>
      <c r="E61" s="28">
        <v>24815000</v>
      </c>
      <c r="F61" s="28"/>
      <c r="G61" s="28"/>
      <c r="H61" s="28"/>
      <c r="I61" s="28">
        <v>0</v>
      </c>
      <c r="J61" s="28"/>
      <c r="K61" s="28"/>
      <c r="L61" s="28"/>
      <c r="M61" s="28"/>
      <c r="N61" s="51">
        <f t="shared" si="26"/>
        <v>421045000</v>
      </c>
      <c r="P61" s="426">
        <v>88573471</v>
      </c>
      <c r="Q61" s="28">
        <v>106031506</v>
      </c>
      <c r="R61" s="501">
        <f>+'[4]ITPA'!$K$101+'[4]ITPA'!$K$106+'[4]ITPA'!$K$111+'[4]MEJORAMIENTO GENETICO'!$K$113+'[4]MEJORAMIENTO GENETICO'!$K$118+'[4]MEJORAMIENTO GENETICO'!$K$123+'[4]CAMPAÑA DE CONSUMO'!$K$84+'[4]CAMPAÑA DE CONSUMO'!$K$89+'[4]CAMPAÑA DE CONSUMO'!$K$94+'[4]SISTEMAS DE INFORMACION'!$K$75+'[4]SISTEMAS DE INFORMACION'!$K$80+'[4]SISTEMAS DE INFORMACION'!$K$85+'[4]DIVULGACIÓN'!$K$80+'[4]DIVULGACIÓN'!$K$85+'[4]DIVULGACIÓN'!$K$90+'[4]ASOCIATIVIDAD'!$K$84+'[4]ASOCIATIVIDAD'!$K$89+'[4]ASOCIATIVIDAD'!$K$94</f>
        <v>104279139</v>
      </c>
      <c r="S61" s="28">
        <f>+'[5]ITPA'!$K$122+'[5]ITPA'!$K$130+'[5]ITPA'!$K$137+'[5]GENETICO'!$K$134+'[5]GENETICO'!$K$141+'[5]GENETICO'!$K$148+'[5]CAMPAÑA DE CONSUMO'!$K$95+'[5]CAMPAÑA DE CONSUMO'!$K$102+'[5]CAMPAÑA DE CONSUMO'!$K$109+'[5]SISTEMAS DE INFORMACION'!$K$90+'[5]SISTEMAS DE INFORMACION'!$K$97+'[5]SISTEMAS DE INFORMACION'!$K$104+'[5]DIVULGACIÓN'!$K$91+'[5]DIVULGACIÓN'!$K$98+'[5]DIVULGACIÓN'!$K$105+'[5]ASOCIATIVIDAD'!$K$109+'[5]ASOCIATIVIDAD'!$K$116+'[5]ASOCIATIVIDAD'!$K$123</f>
        <v>103850106</v>
      </c>
      <c r="T61" s="518"/>
      <c r="U61" s="531">
        <f t="shared" si="28"/>
        <v>402734222</v>
      </c>
      <c r="V61" s="459">
        <f t="shared" si="27"/>
        <v>18310778</v>
      </c>
    </row>
    <row r="62" spans="2:22" ht="15">
      <c r="B62" s="40" t="s">
        <v>34</v>
      </c>
      <c r="C62" s="28">
        <v>68858000</v>
      </c>
      <c r="D62" s="28"/>
      <c r="E62" s="28">
        <v>4384000</v>
      </c>
      <c r="F62" s="28"/>
      <c r="G62" s="28"/>
      <c r="H62" s="28"/>
      <c r="I62" s="28">
        <v>0</v>
      </c>
      <c r="J62" s="28"/>
      <c r="K62" s="28"/>
      <c r="L62" s="28"/>
      <c r="M62" s="28"/>
      <c r="N62" s="51">
        <f t="shared" si="26"/>
        <v>73242000</v>
      </c>
      <c r="P62" s="426">
        <v>14889900</v>
      </c>
      <c r="Q62" s="28">
        <v>17839600</v>
      </c>
      <c r="R62" s="501">
        <f>+'[4]ITPA'!$K$116+'[4]MEJORAMIENTO GENETICO'!$K$128+'[4]CAMPAÑA DE CONSUMO'!$K$99+'[4]SISTEMAS DE INFORMACION'!$K$90+'[4]DIVULGACIÓN'!$K$95+'[4]ASOCIATIVIDAD'!$K$99</f>
        <v>17650700</v>
      </c>
      <c r="S62" s="28">
        <f>+'[5]ITPA'!$K$144+'[5]GENETICO'!$K$154+'[5]CAMPAÑA DE CONSUMO'!$K$115+'[5]SISTEMAS DE INFORMACION'!$K$110+'[5]DIVULGACIÓN'!$K$111+'[5]ASOCIATIVIDAD'!$K$129</f>
        <v>20171200</v>
      </c>
      <c r="T62" s="518"/>
      <c r="U62" s="531">
        <f t="shared" si="28"/>
        <v>70551400</v>
      </c>
      <c r="V62" s="459">
        <f t="shared" si="27"/>
        <v>2690600</v>
      </c>
    </row>
    <row r="63" spans="2:22" ht="15">
      <c r="B63" s="40" t="s">
        <v>35</v>
      </c>
      <c r="C63" s="28">
        <v>86087000</v>
      </c>
      <c r="D63" s="28"/>
      <c r="E63" s="28">
        <v>5456000</v>
      </c>
      <c r="F63" s="28"/>
      <c r="G63" s="28"/>
      <c r="H63" s="28"/>
      <c r="I63" s="28">
        <v>0</v>
      </c>
      <c r="J63" s="28"/>
      <c r="K63" s="28"/>
      <c r="L63" s="28"/>
      <c r="M63" s="28"/>
      <c r="N63" s="51">
        <f t="shared" si="26"/>
        <v>91543000</v>
      </c>
      <c r="P63" s="426">
        <v>18617300</v>
      </c>
      <c r="Q63" s="28">
        <v>22302500</v>
      </c>
      <c r="R63" s="501">
        <f>+'[4]ITPA'!$K$122+'[4]ITPA'!$K$128+'[4]MEJORAMIENTO GENETICO'!$K$133+'[4]MEJORAMIENTO GENETICO'!$K$138+'[4]CAMPAÑA DE CONSUMO'!$K$104+'[4]CAMPAÑA DE CONSUMO'!$K$109+'[4]SISTEMAS DE INFORMACION'!$K$95+'[4]SISTEMAS DE INFORMACION'!$K$100+'[4]DIVULGACIÓN'!$K$100+'[4]DIVULGACIÓN'!$K$105+'[4]ASOCIATIVIDAD'!$K$104+'[4]ASOCIATIVIDAD'!$K$109</f>
        <v>22066100</v>
      </c>
      <c r="S63" s="28">
        <f>+'[5]ITPA'!$K$152+'[5]ITPA'!$K$160+'[5]GENETICO'!$K$161+'[5]GENETICO'!$K$168+'[5]CAMPAÑA DE CONSUMO'!$K$122+'[5]CAMPAÑA DE CONSUMO'!$K$129+'[5]SISTEMAS DE INFORMACION'!$K$117+'[5]SISTEMAS DE INFORMACION'!$K$124+'[5]DIVULGACIÓN'!$K$118+'[5]DIVULGACIÓN'!$K$125+'[5]ASOCIATIVIDAD'!$K$136+'[5]ASOCIATIVIDAD'!$K$143</f>
        <v>25216800</v>
      </c>
      <c r="T63" s="518"/>
      <c r="U63" s="531">
        <f t="shared" si="28"/>
        <v>88202700</v>
      </c>
      <c r="V63" s="459">
        <f t="shared" si="27"/>
        <v>3340300</v>
      </c>
    </row>
    <row r="64" spans="2:22" ht="15">
      <c r="B64" s="25" t="s">
        <v>9</v>
      </c>
      <c r="C64" s="29">
        <f aca="true" t="shared" si="29" ref="C64:H64">SUM(C65:C81)</f>
        <v>2685238247.12</v>
      </c>
      <c r="D64" s="29">
        <f t="shared" si="29"/>
        <v>0</v>
      </c>
      <c r="E64" s="29">
        <f t="shared" si="29"/>
        <v>17746962.999999996</v>
      </c>
      <c r="F64" s="29">
        <f t="shared" si="29"/>
        <v>0</v>
      </c>
      <c r="G64" s="29">
        <f>SUM(G65:G81)</f>
        <v>0</v>
      </c>
      <c r="H64" s="29">
        <f t="shared" si="29"/>
        <v>-56550000</v>
      </c>
      <c r="I64" s="29">
        <f aca="true" t="shared" si="30" ref="I64:N64">SUM(I65:I81)</f>
        <v>-109259890</v>
      </c>
      <c r="J64" s="29">
        <f t="shared" si="30"/>
        <v>0</v>
      </c>
      <c r="K64" s="29">
        <f t="shared" si="30"/>
        <v>0</v>
      </c>
      <c r="L64" s="29">
        <f t="shared" si="30"/>
        <v>0</v>
      </c>
      <c r="M64" s="29">
        <f t="shared" si="30"/>
        <v>0</v>
      </c>
      <c r="N64" s="38">
        <f t="shared" si="30"/>
        <v>2537175320.12</v>
      </c>
      <c r="P64" s="427">
        <f aca="true" t="shared" si="31" ref="P64:V64">SUM(P65:P81)</f>
        <v>504056807.32</v>
      </c>
      <c r="Q64" s="29">
        <f t="shared" si="31"/>
        <v>716862245.99</v>
      </c>
      <c r="R64" s="29">
        <f t="shared" si="31"/>
        <v>504620379</v>
      </c>
      <c r="S64" s="29">
        <f t="shared" si="31"/>
        <v>577446480</v>
      </c>
      <c r="T64" s="519">
        <f t="shared" si="31"/>
        <v>0</v>
      </c>
      <c r="U64" s="533">
        <f>SUM(U65:U81)</f>
        <v>2302985912.3099995</v>
      </c>
      <c r="V64" s="461">
        <f t="shared" si="31"/>
        <v>234189407.81</v>
      </c>
    </row>
    <row r="65" spans="2:22" ht="15">
      <c r="B65" s="40" t="s">
        <v>125</v>
      </c>
      <c r="C65" s="28">
        <v>251475828</v>
      </c>
      <c r="D65" s="28"/>
      <c r="E65" s="28">
        <v>870309</v>
      </c>
      <c r="F65" s="28">
        <v>-645900</v>
      </c>
      <c r="G65" s="28"/>
      <c r="H65" s="28"/>
      <c r="I65" s="28">
        <v>-46888552</v>
      </c>
      <c r="J65" s="28"/>
      <c r="K65" s="28"/>
      <c r="L65" s="28"/>
      <c r="M65" s="28"/>
      <c r="N65" s="51">
        <f aca="true" t="shared" si="32" ref="N65:N81">SUM(C65:M65)</f>
        <v>204811685</v>
      </c>
      <c r="P65" s="426">
        <v>142026481</v>
      </c>
      <c r="Q65" s="28">
        <v>13940765</v>
      </c>
      <c r="R65" s="28">
        <f>+'[4]ITPA'!$K$209+'[4]MEJORAMIENTO GENETICO'!$K$150+'[4]CAMPAÑA DE CONSUMO'!$K$115+'[4]SISTEMAS DE INFORMACION'!$K$106+'[4]DIVULGACIÓN'!$K$111+'[4]ASOCIATIVIDAD'!$K$115+'[4]UNIDAD TECNICA POP'!$K$53</f>
        <v>25131022</v>
      </c>
      <c r="S65" s="28">
        <f>+'[5]ITPA'!$K$188+'[5]GENETICO'!$K$182+'[5]CAMPAÑA DE CONSUMO'!$K$137+'[5]SISTEMAS DE INFORMACION'!$K$132+'[5]DIVULGACIÓN'!$K$133+'[5]ASOCIATIVIDAD'!$K$151+'[5]UGT POP'!$K$56</f>
        <v>5600508</v>
      </c>
      <c r="T65" s="518"/>
      <c r="U65" s="531">
        <f aca="true" t="shared" si="33" ref="U65:U81">SUM(P65:T65)</f>
        <v>186698776</v>
      </c>
      <c r="V65" s="459">
        <f aca="true" t="shared" si="34" ref="V65:V81">+N65-U65</f>
        <v>18112909</v>
      </c>
    </row>
    <row r="66" spans="2:22" ht="15">
      <c r="B66" s="40" t="s">
        <v>121</v>
      </c>
      <c r="C66" s="28">
        <v>510500000</v>
      </c>
      <c r="D66" s="28"/>
      <c r="E66" s="28"/>
      <c r="F66" s="28"/>
      <c r="G66" s="28"/>
      <c r="H66" s="28"/>
      <c r="I66" s="28">
        <v>-833954</v>
      </c>
      <c r="J66" s="28"/>
      <c r="K66" s="28"/>
      <c r="L66" s="28"/>
      <c r="M66" s="28"/>
      <c r="N66" s="51">
        <f t="shared" si="32"/>
        <v>509666046</v>
      </c>
      <c r="P66" s="426">
        <v>9666046.32</v>
      </c>
      <c r="Q66" s="28">
        <v>273031081</v>
      </c>
      <c r="R66" s="28">
        <f>+'[4]SEMILLA CERTIFICADA'!$K$64</f>
        <v>8724991</v>
      </c>
      <c r="S66" s="28">
        <f>+'[5]SEMILLA CERT'!$K$65</f>
        <v>210352000</v>
      </c>
      <c r="T66" s="518"/>
      <c r="U66" s="531">
        <f t="shared" si="33"/>
        <v>501774118.32</v>
      </c>
      <c r="V66" s="459">
        <f t="shared" si="34"/>
        <v>7891927.680000007</v>
      </c>
    </row>
    <row r="67" spans="2:22" ht="15">
      <c r="B67" s="40" t="s">
        <v>36</v>
      </c>
      <c r="C67" s="28">
        <v>0</v>
      </c>
      <c r="D67" s="28"/>
      <c r="E67" s="28"/>
      <c r="F67" s="28"/>
      <c r="G67" s="28"/>
      <c r="H67" s="28"/>
      <c r="I67" s="28">
        <v>0</v>
      </c>
      <c r="J67" s="28"/>
      <c r="K67" s="28"/>
      <c r="L67" s="28"/>
      <c r="M67" s="28"/>
      <c r="N67" s="51">
        <f t="shared" si="32"/>
        <v>0</v>
      </c>
      <c r="P67" s="426">
        <v>0</v>
      </c>
      <c r="Q67" s="28">
        <v>0</v>
      </c>
      <c r="R67" s="28">
        <v>0</v>
      </c>
      <c r="S67" s="28">
        <v>0</v>
      </c>
      <c r="T67" s="518"/>
      <c r="U67" s="531">
        <f t="shared" si="33"/>
        <v>0</v>
      </c>
      <c r="V67" s="459">
        <f t="shared" si="34"/>
        <v>0</v>
      </c>
    </row>
    <row r="68" spans="2:22" ht="15">
      <c r="B68" s="40" t="s">
        <v>37</v>
      </c>
      <c r="C68" s="28">
        <v>59897424</v>
      </c>
      <c r="D68" s="28"/>
      <c r="E68" s="28">
        <v>1280686</v>
      </c>
      <c r="F68" s="28"/>
      <c r="G68" s="28"/>
      <c r="H68" s="28">
        <v>-13200000</v>
      </c>
      <c r="I68" s="28">
        <v>-12334765</v>
      </c>
      <c r="J68" s="28"/>
      <c r="K68" s="28"/>
      <c r="L68" s="28"/>
      <c r="M68" s="28"/>
      <c r="N68" s="51">
        <f t="shared" si="32"/>
        <v>35643345</v>
      </c>
      <c r="P68" s="426">
        <v>7564685</v>
      </c>
      <c r="Q68" s="28">
        <v>6953393</v>
      </c>
      <c r="R68" s="28">
        <f>+'[4]ITPA'!$K$217+'[4]MEJORAMIENTO GENETICO'!$K$177+'[4]SEMILLA CERTIFICADA'!$K$78+'[4]CAMPAÑA DE CONSUMO'!$K$153+'[4]SISTEMAS DE INFORMACION'!$K$115+'[4]ASOCIATIVIDAD'!$K$124</f>
        <v>6953393</v>
      </c>
      <c r="S68" s="28">
        <f>+'[5]ITPA'!$K$197+'[5]GENETICO'!$K$209+'[5]SEMILLA CERT'!$K$84+'[5]CAMPAÑA DE CONSUMO'!$K$167+'[5]SISTEMAS DE INFORMACION'!$K$141+'[5]ASOCIATIVIDAD'!$K$160</f>
        <v>11209505</v>
      </c>
      <c r="T68" s="518"/>
      <c r="U68" s="531">
        <f t="shared" si="33"/>
        <v>32680976</v>
      </c>
      <c r="V68" s="459">
        <f t="shared" si="34"/>
        <v>2962369</v>
      </c>
    </row>
    <row r="69" spans="2:22" ht="15">
      <c r="B69" s="40" t="s">
        <v>3</v>
      </c>
      <c r="C69" s="28">
        <v>8232000</v>
      </c>
      <c r="D69" s="28"/>
      <c r="E69" s="28">
        <v>197760</v>
      </c>
      <c r="F69" s="28"/>
      <c r="G69" s="28"/>
      <c r="H69" s="28"/>
      <c r="I69" s="28">
        <v>0</v>
      </c>
      <c r="J69" s="28"/>
      <c r="K69" s="28"/>
      <c r="L69" s="28"/>
      <c r="M69" s="28"/>
      <c r="N69" s="51">
        <f t="shared" si="32"/>
        <v>8429760</v>
      </c>
      <c r="P69" s="426">
        <v>433981</v>
      </c>
      <c r="Q69" s="28">
        <v>1076064</v>
      </c>
      <c r="R69" s="28">
        <f>+'[4]ITPA'!$K$302+'[4]ASOCIATIVIDAD'!$K$386</f>
        <v>1646490</v>
      </c>
      <c r="S69" s="28">
        <f>+'[5]ITPA'!$K$296+'[5]ASOCIATIVIDAD'!$K$365</f>
        <v>3598800</v>
      </c>
      <c r="T69" s="518"/>
      <c r="U69" s="531">
        <f t="shared" si="33"/>
        <v>6755335</v>
      </c>
      <c r="V69" s="459">
        <f t="shared" si="34"/>
        <v>1674425</v>
      </c>
    </row>
    <row r="70" spans="2:22" ht="15">
      <c r="B70" s="40" t="s">
        <v>4</v>
      </c>
      <c r="C70" s="28">
        <v>500072064</v>
      </c>
      <c r="D70" s="28"/>
      <c r="E70" s="28">
        <v>2953804</v>
      </c>
      <c r="F70" s="28"/>
      <c r="G70" s="28"/>
      <c r="H70" s="28"/>
      <c r="I70" s="28">
        <v>-16984853</v>
      </c>
      <c r="J70" s="28"/>
      <c r="K70" s="28"/>
      <c r="L70" s="28"/>
      <c r="M70" s="28"/>
      <c r="N70" s="51">
        <f t="shared" si="32"/>
        <v>486041015</v>
      </c>
      <c r="P70" s="426">
        <v>68861023</v>
      </c>
      <c r="Q70" s="28">
        <v>112560458</v>
      </c>
      <c r="R70" s="28">
        <f>+'[4]ITPA'!$K$233+'[4]MEJORAMIENTO GENETICO'!$K$144+'[4]CAMPAÑA DE CONSUMO'!$K$128+'[4]SISTEMAS DE INFORMACION'!$K$140+'[4]DIVULGACIÓN'!$K$129+'[4]ASOCIATIVIDAD'!$K$245+'[4]UNIDAD TECNICA POP'!$K$71</f>
        <v>128710474</v>
      </c>
      <c r="S70" s="28">
        <f>+'[5]ITPA'!$K$213+'[5]GENETICO'!$K$176+'[5]CAMPAÑA DE CONSUMO'!$K$146+'[5]SISTEMAS DE INFORMACION'!$K$159+'[5]DIVULGACIÓN'!$K$147+'[5]ASOCIATIVIDAD'!$K$283+'[5]UGT POP'!$K$74</f>
        <v>114912864</v>
      </c>
      <c r="T70" s="518"/>
      <c r="U70" s="531">
        <f t="shared" si="33"/>
        <v>425044819</v>
      </c>
      <c r="V70" s="459">
        <f t="shared" si="34"/>
        <v>60996196</v>
      </c>
    </row>
    <row r="71" spans="2:22" ht="15">
      <c r="B71" s="40" t="s">
        <v>5</v>
      </c>
      <c r="C71" s="28">
        <v>984329376</v>
      </c>
      <c r="D71" s="28"/>
      <c r="E71" s="28">
        <v>10927438.999999996</v>
      </c>
      <c r="F71" s="28"/>
      <c r="G71" s="28"/>
      <c r="H71" s="28"/>
      <c r="I71" s="28">
        <v>-8802751</v>
      </c>
      <c r="J71" s="28"/>
      <c r="K71" s="28"/>
      <c r="L71" s="28"/>
      <c r="M71" s="28"/>
      <c r="N71" s="51">
        <f t="shared" si="32"/>
        <v>986454064</v>
      </c>
      <c r="P71" s="426">
        <v>239140194</v>
      </c>
      <c r="Q71" s="28">
        <v>233216213</v>
      </c>
      <c r="R71" s="28">
        <f>+'[4]ITPA'!$K$135+'[4]CAMPAÑA DE CONSUMO'!$K$123+'[4]SISTEMAS DE INFORMACION'!$K$169+'[4]DIVULGACIÓN'!$K$120+'[4]DIVULGACIÓN'!$K$152+'[4]ASOCIATIVIDAD'!$K$149+'[4]ASOCIATIVIDAD'!$K$156+'[4]UNIDAD TECNICA POP'!$K$125</f>
        <v>280224422</v>
      </c>
      <c r="S71" s="28">
        <f>+'[5]ITPA'!$K$169+'[5]ITPA'!$K$179+'[5]SISTEMAS DE INFORMACION'!$K$191+'[5]DIVULGACIÓN'!$K$187+'[5]DIVULGACIÓN'!$K$141+'[5]ASOCIATIVIDAD'!$K$183+'[5]ASOCIATIVIDAD'!$K$188+'[5]UGT POP'!$K$106</f>
        <v>156381110</v>
      </c>
      <c r="T71" s="518"/>
      <c r="U71" s="531">
        <f t="shared" si="33"/>
        <v>908961939</v>
      </c>
      <c r="V71" s="459">
        <f t="shared" si="34"/>
        <v>77492125</v>
      </c>
    </row>
    <row r="72" spans="2:22" ht="15">
      <c r="B72" s="40" t="s">
        <v>38</v>
      </c>
      <c r="C72" s="28">
        <v>25000000</v>
      </c>
      <c r="D72" s="28"/>
      <c r="E72" s="28"/>
      <c r="F72" s="28"/>
      <c r="G72" s="28"/>
      <c r="H72" s="28"/>
      <c r="I72" s="28">
        <v>0</v>
      </c>
      <c r="J72" s="28"/>
      <c r="K72" s="28"/>
      <c r="L72" s="28"/>
      <c r="M72" s="28"/>
      <c r="N72" s="51">
        <f t="shared" si="32"/>
        <v>25000000</v>
      </c>
      <c r="P72" s="426">
        <v>0</v>
      </c>
      <c r="Q72" s="28">
        <v>8073912</v>
      </c>
      <c r="R72" s="28">
        <f>+'[4]ITPA'!$K$320</f>
        <v>15421210</v>
      </c>
      <c r="S72" s="28">
        <f>+'[5]ITPA'!$K$312</f>
        <v>916966</v>
      </c>
      <c r="T72" s="518"/>
      <c r="U72" s="531">
        <f t="shared" si="33"/>
        <v>24412088</v>
      </c>
      <c r="V72" s="459">
        <f t="shared" si="34"/>
        <v>587912</v>
      </c>
    </row>
    <row r="73" spans="2:22" ht="15">
      <c r="B73" s="40" t="s">
        <v>6</v>
      </c>
      <c r="C73" s="28">
        <v>152381003.16</v>
      </c>
      <c r="D73" s="28"/>
      <c r="E73" s="28">
        <v>240970</v>
      </c>
      <c r="F73" s="28"/>
      <c r="G73" s="28"/>
      <c r="H73" s="28">
        <v>-11850000</v>
      </c>
      <c r="I73" s="28">
        <v>-649644</v>
      </c>
      <c r="J73" s="28"/>
      <c r="K73" s="28"/>
      <c r="L73" s="28"/>
      <c r="M73" s="28"/>
      <c r="N73" s="51">
        <f t="shared" si="32"/>
        <v>140122329.16</v>
      </c>
      <c r="P73" s="426">
        <v>6894062</v>
      </c>
      <c r="Q73" s="28">
        <v>55661812</v>
      </c>
      <c r="R73" s="28">
        <f>+'[4]ITPA'!$K$311+'[4]MEJORAMIENTO GENETICO'!$K$168+'[4]SEMILLA CERTIFICADA'!$K$85+'[4]CAMPAÑA DE CONSUMO'!$K$162+'[4]SISTEMAS DE INFORMACION'!$K$124+'[4]ASOCIATIVIDAD'!$K$133+'[4]UNIDAD TECNICA POP'!$K$62</f>
        <v>17991632</v>
      </c>
      <c r="S73" s="28">
        <f>+'[5]ITPA'!$K$303+'[5]GENETICO'!$K$200+'[5]SEMILLA CERT'!$K$90+'[5]CAMPAÑA DE CONSUMO'!$K$176+'[5]SISTEMAS DE INFORMACION'!$K$150+'[5]ASOCIATIVIDAD'!$K$169+'[5]UGT POP'!$K$65</f>
        <v>24950193</v>
      </c>
      <c r="T73" s="518"/>
      <c r="U73" s="531">
        <f t="shared" si="33"/>
        <v>105497699</v>
      </c>
      <c r="V73" s="459">
        <f t="shared" si="34"/>
        <v>34624630.16</v>
      </c>
    </row>
    <row r="74" spans="2:22" ht="15">
      <c r="B74" s="40" t="s">
        <v>89</v>
      </c>
      <c r="C74" s="28">
        <v>31897485</v>
      </c>
      <c r="D74" s="28"/>
      <c r="E74" s="28">
        <v>229550</v>
      </c>
      <c r="F74" s="28"/>
      <c r="G74" s="28"/>
      <c r="H74" s="28">
        <v>-4500000</v>
      </c>
      <c r="I74" s="28">
        <v>-4506160</v>
      </c>
      <c r="J74" s="28"/>
      <c r="K74" s="28"/>
      <c r="L74" s="28"/>
      <c r="M74" s="28"/>
      <c r="N74" s="51">
        <f t="shared" si="32"/>
        <v>23120875</v>
      </c>
      <c r="P74" s="426">
        <v>1396025</v>
      </c>
      <c r="Q74" s="28">
        <v>3487286.99</v>
      </c>
      <c r="R74" s="28">
        <f>+'[4]ITPA'!$K$226+'[4]SEMILLA CERTIFICADA'!$K$94+'[4]CAMPAÑA DE CONSUMO'!$K$171+'[4]SISTEMAS DE INFORMACION'!$K$133+'[4]ASOCIATIVIDAD'!$K$142</f>
        <v>7390263</v>
      </c>
      <c r="S74" s="28">
        <f>+'[5]ITPA'!$K$206+'[5]CAMPAÑA DE CONSUMO'!$K$185+'[5]ASOCIATIVIDAD'!$K$176</f>
        <v>2408500</v>
      </c>
      <c r="T74" s="518"/>
      <c r="U74" s="531">
        <f t="shared" si="33"/>
        <v>14682074.99</v>
      </c>
      <c r="V74" s="459">
        <f t="shared" si="34"/>
        <v>8438800.01</v>
      </c>
    </row>
    <row r="75" spans="2:22" ht="15">
      <c r="B75" s="40" t="s">
        <v>39</v>
      </c>
      <c r="C75" s="28">
        <v>76951356.96000001</v>
      </c>
      <c r="D75" s="28"/>
      <c r="E75" s="28">
        <v>19782</v>
      </c>
      <c r="F75" s="28"/>
      <c r="G75" s="28"/>
      <c r="H75" s="28"/>
      <c r="I75" s="28">
        <v>-4181138</v>
      </c>
      <c r="J75" s="28"/>
      <c r="K75" s="28"/>
      <c r="L75" s="28"/>
      <c r="M75" s="28"/>
      <c r="N75" s="51">
        <f t="shared" si="32"/>
        <v>72790000.96000001</v>
      </c>
      <c r="P75" s="426">
        <v>20141213</v>
      </c>
      <c r="Q75" s="28">
        <v>1236202</v>
      </c>
      <c r="R75" s="28">
        <f>+'[4]ITPA'!$K$329+'[4]MEJORAMIENTO GENETICO'!$K$159+'[4]SEMILLA CERTIFICADA'!$K$103+'[4]CAMPAÑA DE CONSUMO'!$K$178+'[4]SISTEMAS DE INFORMACION'!$K$174+'[4]DIVULGACIÓN'!$K$245+'[4]ASOCIATIVIDAD'!$K$393</f>
        <v>5639285</v>
      </c>
      <c r="S75" s="28">
        <f>+'[5]ITPA'!$K$317+'[5]GENETICO'!$K$191+'[5]SEMILLA CERT'!$K$106+'[5]CAMPAÑA DE CONSUMO'!$K$192+'[5]SISTEMAS DE INFORMACION'!$K$198+'[5]DIVULGACIÓN'!$K$256+'[5]ASOCIATIVIDAD'!$K$370</f>
        <v>31133248</v>
      </c>
      <c r="T75" s="518"/>
      <c r="U75" s="531">
        <f t="shared" si="33"/>
        <v>58149948</v>
      </c>
      <c r="V75" s="459">
        <f t="shared" si="34"/>
        <v>14640052.960000008</v>
      </c>
    </row>
    <row r="76" spans="2:22" ht="15">
      <c r="B76" s="40" t="s">
        <v>40</v>
      </c>
      <c r="C76" s="28">
        <v>0</v>
      </c>
      <c r="D76" s="28"/>
      <c r="E76" s="28"/>
      <c r="F76" s="28"/>
      <c r="G76" s="28"/>
      <c r="H76" s="28"/>
      <c r="I76" s="28">
        <v>0</v>
      </c>
      <c r="J76" s="28"/>
      <c r="K76" s="28"/>
      <c r="L76" s="28"/>
      <c r="M76" s="28"/>
      <c r="N76" s="51">
        <f t="shared" si="32"/>
        <v>0</v>
      </c>
      <c r="P76" s="426">
        <v>0</v>
      </c>
      <c r="Q76" s="28">
        <v>0</v>
      </c>
      <c r="R76" s="28">
        <v>0</v>
      </c>
      <c r="S76" s="28">
        <v>0</v>
      </c>
      <c r="T76" s="518"/>
      <c r="U76" s="531">
        <f t="shared" si="33"/>
        <v>0</v>
      </c>
      <c r="V76" s="459">
        <f t="shared" si="34"/>
        <v>0</v>
      </c>
    </row>
    <row r="77" spans="2:22" ht="15">
      <c r="B77" s="40" t="s">
        <v>41</v>
      </c>
      <c r="C77" s="28">
        <v>80160000</v>
      </c>
      <c r="D77" s="28"/>
      <c r="E77" s="28">
        <v>988800</v>
      </c>
      <c r="F77" s="28"/>
      <c r="G77" s="28"/>
      <c r="H77" s="28">
        <v>-27000000</v>
      </c>
      <c r="I77" s="28">
        <v>-13500000</v>
      </c>
      <c r="J77" s="28"/>
      <c r="K77" s="28"/>
      <c r="L77" s="28"/>
      <c r="M77" s="28"/>
      <c r="N77" s="51">
        <f t="shared" si="32"/>
        <v>40648800</v>
      </c>
      <c r="P77" s="426">
        <v>6787197</v>
      </c>
      <c r="Q77" s="28">
        <v>6787197</v>
      </c>
      <c r="R77" s="28">
        <f>+'[4]MEJORAMIENTO GENETICO'!$K$185</f>
        <v>6787197</v>
      </c>
      <c r="S77" s="28">
        <f>+'[5]GENETICO'!$K$218+'[5]SEMILLA CERT'!$K$79</f>
        <v>15787195</v>
      </c>
      <c r="T77" s="518"/>
      <c r="U77" s="531">
        <f t="shared" si="33"/>
        <v>36148786</v>
      </c>
      <c r="V77" s="459">
        <f t="shared" si="34"/>
        <v>4500014</v>
      </c>
    </row>
    <row r="78" spans="2:22" ht="15">
      <c r="B78" s="40" t="s">
        <v>51</v>
      </c>
      <c r="C78" s="41">
        <v>0</v>
      </c>
      <c r="D78" s="41"/>
      <c r="E78" s="41"/>
      <c r="F78" s="41"/>
      <c r="G78" s="41"/>
      <c r="H78" s="41"/>
      <c r="I78" s="41">
        <v>0</v>
      </c>
      <c r="J78" s="41"/>
      <c r="K78" s="41"/>
      <c r="L78" s="41"/>
      <c r="M78" s="41"/>
      <c r="N78" s="51">
        <f t="shared" si="32"/>
        <v>0</v>
      </c>
      <c r="P78" s="432"/>
      <c r="Q78" s="41">
        <v>0</v>
      </c>
      <c r="R78" s="41">
        <v>0</v>
      </c>
      <c r="S78" s="41">
        <v>0</v>
      </c>
      <c r="T78" s="524"/>
      <c r="U78" s="531">
        <f t="shared" si="33"/>
        <v>0</v>
      </c>
      <c r="V78" s="459">
        <f t="shared" si="34"/>
        <v>0</v>
      </c>
    </row>
    <row r="79" spans="2:22" ht="15">
      <c r="B79" s="40" t="s">
        <v>90</v>
      </c>
      <c r="C79" s="138">
        <v>4341710</v>
      </c>
      <c r="D79" s="138"/>
      <c r="E79" s="138">
        <v>37862.99999999999</v>
      </c>
      <c r="F79" s="138">
        <v>645900</v>
      </c>
      <c r="G79" s="138"/>
      <c r="H79" s="138"/>
      <c r="I79" s="138">
        <v>-578073</v>
      </c>
      <c r="J79" s="138"/>
      <c r="K79" s="138"/>
      <c r="L79" s="138"/>
      <c r="M79" s="138"/>
      <c r="N79" s="51">
        <f t="shared" si="32"/>
        <v>4447400</v>
      </c>
      <c r="P79" s="431">
        <v>1145900</v>
      </c>
      <c r="Q79" s="138">
        <v>837862</v>
      </c>
      <c r="R79" s="138">
        <f>+'[4]ITPA'!$K$335+'[4]SEMILLA CERTIFICADA'!$K$112</f>
        <v>0</v>
      </c>
      <c r="S79" s="138">
        <f>+'[5]ITPA'!$K$326+'[5]SEMILLA CERT'!$K$115</f>
        <v>195591</v>
      </c>
      <c r="T79" s="523"/>
      <c r="U79" s="531">
        <f t="shared" si="33"/>
        <v>2179353</v>
      </c>
      <c r="V79" s="459">
        <f t="shared" si="34"/>
        <v>2268047</v>
      </c>
    </row>
    <row r="80" spans="2:22" ht="15">
      <c r="B80" s="40" t="s">
        <v>10</v>
      </c>
      <c r="C80" s="28">
        <v>0</v>
      </c>
      <c r="D80" s="28"/>
      <c r="E80" s="28"/>
      <c r="F80" s="28"/>
      <c r="G80" s="28"/>
      <c r="H80" s="28"/>
      <c r="I80" s="28">
        <v>0</v>
      </c>
      <c r="J80" s="28"/>
      <c r="K80" s="28"/>
      <c r="L80" s="28"/>
      <c r="M80" s="28"/>
      <c r="N80" s="51">
        <f t="shared" si="32"/>
        <v>0</v>
      </c>
      <c r="P80" s="426"/>
      <c r="Q80" s="28"/>
      <c r="R80" s="28">
        <v>0</v>
      </c>
      <c r="S80" s="28"/>
      <c r="T80" s="518"/>
      <c r="U80" s="531">
        <f t="shared" si="33"/>
        <v>0</v>
      </c>
      <c r="V80" s="459">
        <f t="shared" si="34"/>
        <v>0</v>
      </c>
    </row>
    <row r="81" spans="2:22" ht="15">
      <c r="B81" s="40" t="s">
        <v>42</v>
      </c>
      <c r="C81" s="28">
        <v>0</v>
      </c>
      <c r="D81" s="28"/>
      <c r="E81" s="28"/>
      <c r="F81" s="28"/>
      <c r="G81" s="28"/>
      <c r="H81" s="28"/>
      <c r="I81" s="28">
        <v>0</v>
      </c>
      <c r="J81" s="28"/>
      <c r="K81" s="28"/>
      <c r="L81" s="28"/>
      <c r="M81" s="28"/>
      <c r="N81" s="51">
        <f t="shared" si="32"/>
        <v>0</v>
      </c>
      <c r="P81" s="426"/>
      <c r="Q81" s="28"/>
      <c r="R81" s="28">
        <v>0</v>
      </c>
      <c r="S81" s="28"/>
      <c r="T81" s="518"/>
      <c r="U81" s="531">
        <f t="shared" si="33"/>
        <v>0</v>
      </c>
      <c r="V81" s="459">
        <f t="shared" si="34"/>
        <v>0</v>
      </c>
    </row>
    <row r="82" spans="2:22" ht="15">
      <c r="B82" s="25" t="s">
        <v>44</v>
      </c>
      <c r="C82" s="29">
        <f aca="true" t="shared" si="35" ref="C82:N82">+C83+C105+C111+C116</f>
        <v>5916705000</v>
      </c>
      <c r="D82" s="29">
        <f t="shared" si="35"/>
        <v>0</v>
      </c>
      <c r="E82" s="29">
        <f t="shared" si="35"/>
        <v>39527960.00000003</v>
      </c>
      <c r="F82" s="29">
        <f t="shared" si="35"/>
        <v>0</v>
      </c>
      <c r="G82" s="29">
        <f>+G83+G105+G111+G116</f>
        <v>0</v>
      </c>
      <c r="H82" s="29">
        <f t="shared" si="35"/>
        <v>0</v>
      </c>
      <c r="I82" s="29">
        <f>+I83+I105+I111+I116</f>
        <v>-42863226</v>
      </c>
      <c r="J82" s="29">
        <f>+J83+J105+J111+J116</f>
        <v>0</v>
      </c>
      <c r="K82" s="29">
        <f>+K83+K105+K111+K116</f>
        <v>0</v>
      </c>
      <c r="L82" s="29">
        <f>+L83+L105+L111+L116</f>
        <v>0</v>
      </c>
      <c r="M82" s="29">
        <f>+M83+M105+M111+M116</f>
        <v>0</v>
      </c>
      <c r="N82" s="38">
        <f t="shared" si="35"/>
        <v>5913369734</v>
      </c>
      <c r="P82" s="427">
        <f aca="true" t="shared" si="36" ref="P82:V82">+P83+P105+P111+P116</f>
        <v>495079821.8400001</v>
      </c>
      <c r="Q82" s="29">
        <f t="shared" si="36"/>
        <v>1445345249</v>
      </c>
      <c r="R82" s="29">
        <f t="shared" si="36"/>
        <v>1766051942</v>
      </c>
      <c r="S82" s="29">
        <f t="shared" si="36"/>
        <v>2187459035</v>
      </c>
      <c r="T82" s="519">
        <f t="shared" si="36"/>
        <v>2.7755575615628914E-17</v>
      </c>
      <c r="U82" s="533">
        <f t="shared" si="36"/>
        <v>5893936047.84</v>
      </c>
      <c r="V82" s="461">
        <f t="shared" si="36"/>
        <v>19433686.159999996</v>
      </c>
    </row>
    <row r="83" spans="2:22" ht="15">
      <c r="B83" s="42" t="s">
        <v>279</v>
      </c>
      <c r="C83" s="29">
        <f aca="true" t="shared" si="37" ref="C83:N83">SUM(C84:C104)</f>
        <v>2814830000</v>
      </c>
      <c r="D83" s="29">
        <f t="shared" si="37"/>
        <v>0</v>
      </c>
      <c r="E83" s="29">
        <f t="shared" si="37"/>
        <v>0</v>
      </c>
      <c r="F83" s="29">
        <f t="shared" si="37"/>
        <v>0</v>
      </c>
      <c r="G83" s="29">
        <f>SUM(G84:G104)</f>
        <v>0</v>
      </c>
      <c r="H83" s="29">
        <f t="shared" si="37"/>
        <v>0</v>
      </c>
      <c r="I83" s="29">
        <f>SUM(I84:I104)</f>
        <v>-22020807</v>
      </c>
      <c r="J83" s="29">
        <f>SUM(J84:J104)</f>
        <v>0</v>
      </c>
      <c r="K83" s="29">
        <f>SUM(K84:K104)</f>
        <v>0</v>
      </c>
      <c r="L83" s="29">
        <f>SUM(L84:L104)</f>
        <v>0</v>
      </c>
      <c r="M83" s="29">
        <f>SUM(M84:M104)</f>
        <v>0</v>
      </c>
      <c r="N83" s="38">
        <f t="shared" si="37"/>
        <v>2792809193</v>
      </c>
      <c r="P83" s="427">
        <f aca="true" t="shared" si="38" ref="P83:V83">SUM(P84:P104)</f>
        <v>326967733.84000003</v>
      </c>
      <c r="Q83" s="29">
        <f t="shared" si="38"/>
        <v>631093810</v>
      </c>
      <c r="R83" s="29">
        <f t="shared" si="38"/>
        <v>662607865</v>
      </c>
      <c r="S83" s="29">
        <f t="shared" si="38"/>
        <v>1153774157</v>
      </c>
      <c r="T83" s="519">
        <f t="shared" si="38"/>
        <v>0</v>
      </c>
      <c r="U83" s="533">
        <f t="shared" si="38"/>
        <v>2774443565.84</v>
      </c>
      <c r="V83" s="461">
        <f t="shared" si="38"/>
        <v>18365627.159999996</v>
      </c>
    </row>
    <row r="84" spans="2:22" ht="15">
      <c r="B84" s="26" t="s">
        <v>280</v>
      </c>
      <c r="C84" s="41">
        <v>0</v>
      </c>
      <c r="D84" s="41"/>
      <c r="E84" s="41"/>
      <c r="F84" s="41"/>
      <c r="G84" s="41"/>
      <c r="H84" s="41"/>
      <c r="I84" s="41">
        <v>0</v>
      </c>
      <c r="J84" s="41"/>
      <c r="K84" s="41"/>
      <c r="L84" s="41"/>
      <c r="M84" s="41"/>
      <c r="N84" s="51">
        <f aca="true" t="shared" si="39" ref="N84:N104">SUM(C84:M84)</f>
        <v>0</v>
      </c>
      <c r="P84" s="432"/>
      <c r="Q84" s="41"/>
      <c r="R84" s="41"/>
      <c r="S84" s="41"/>
      <c r="T84" s="524"/>
      <c r="U84" s="531">
        <f aca="true" t="shared" si="40" ref="U84:U104">SUM(P84:T84)</f>
        <v>0</v>
      </c>
      <c r="V84" s="459">
        <f aca="true" t="shared" si="41" ref="V84:V104">+N84-U84</f>
        <v>0</v>
      </c>
    </row>
    <row r="85" spans="2:22" ht="15">
      <c r="B85" s="26" t="s">
        <v>140</v>
      </c>
      <c r="C85" s="41">
        <v>0</v>
      </c>
      <c r="D85" s="41"/>
      <c r="E85" s="41"/>
      <c r="F85" s="41"/>
      <c r="G85" s="41"/>
      <c r="H85" s="41"/>
      <c r="I85" s="41">
        <v>0</v>
      </c>
      <c r="J85" s="41"/>
      <c r="K85" s="41"/>
      <c r="L85" s="41"/>
      <c r="M85" s="41"/>
      <c r="N85" s="51">
        <f t="shared" si="39"/>
        <v>0</v>
      </c>
      <c r="P85" s="432"/>
      <c r="Q85" s="41"/>
      <c r="R85" s="41"/>
      <c r="S85" s="41"/>
      <c r="T85" s="524"/>
      <c r="U85" s="531">
        <f t="shared" si="40"/>
        <v>0</v>
      </c>
      <c r="V85" s="459">
        <f t="shared" si="41"/>
        <v>0</v>
      </c>
    </row>
    <row r="86" spans="2:22" ht="15">
      <c r="B86" s="26" t="s">
        <v>141</v>
      </c>
      <c r="C86" s="41">
        <v>54000000</v>
      </c>
      <c r="D86" s="41"/>
      <c r="E86" s="41"/>
      <c r="F86" s="41"/>
      <c r="G86" s="41"/>
      <c r="H86" s="41"/>
      <c r="I86" s="41">
        <v>0</v>
      </c>
      <c r="J86" s="41"/>
      <c r="K86" s="41"/>
      <c r="L86" s="41"/>
      <c r="M86" s="41"/>
      <c r="N86" s="51">
        <f t="shared" si="39"/>
        <v>54000000</v>
      </c>
      <c r="P86" s="432">
        <v>49392084</v>
      </c>
      <c r="Q86" s="41"/>
      <c r="R86" s="41"/>
      <c r="S86" s="41"/>
      <c r="T86" s="524"/>
      <c r="U86" s="531">
        <f t="shared" si="40"/>
        <v>49392084</v>
      </c>
      <c r="V86" s="459">
        <f t="shared" si="41"/>
        <v>4607916</v>
      </c>
    </row>
    <row r="87" spans="2:22" ht="15">
      <c r="B87" s="26" t="s">
        <v>130</v>
      </c>
      <c r="C87" s="28">
        <v>60000000</v>
      </c>
      <c r="D87" s="28"/>
      <c r="E87" s="28"/>
      <c r="F87" s="28"/>
      <c r="G87" s="28"/>
      <c r="H87" s="28"/>
      <c r="I87" s="28">
        <v>0</v>
      </c>
      <c r="J87" s="28"/>
      <c r="K87" s="28"/>
      <c r="L87" s="28"/>
      <c r="M87" s="28"/>
      <c r="N87" s="51">
        <f t="shared" si="39"/>
        <v>60000000</v>
      </c>
      <c r="P87" s="426">
        <v>47732687.84</v>
      </c>
      <c r="Q87" s="28"/>
      <c r="R87" s="28">
        <f>+'[4]MEJORAMIENTO GENETICO'!$K$196</f>
        <v>10628620</v>
      </c>
      <c r="S87" s="28"/>
      <c r="T87" s="518"/>
      <c r="U87" s="531">
        <f t="shared" si="40"/>
        <v>58361307.84</v>
      </c>
      <c r="V87" s="459">
        <f t="shared" si="41"/>
        <v>1638692.1599999964</v>
      </c>
    </row>
    <row r="88" spans="2:22" ht="15">
      <c r="B88" s="26" t="s">
        <v>122</v>
      </c>
      <c r="C88" s="28">
        <v>0</v>
      </c>
      <c r="D88" s="28"/>
      <c r="E88" s="28"/>
      <c r="F88" s="28"/>
      <c r="G88" s="28"/>
      <c r="H88" s="28"/>
      <c r="I88" s="28">
        <v>0</v>
      </c>
      <c r="J88" s="28"/>
      <c r="K88" s="28"/>
      <c r="L88" s="28"/>
      <c r="M88" s="28"/>
      <c r="N88" s="51">
        <f t="shared" si="39"/>
        <v>0</v>
      </c>
      <c r="P88" s="426"/>
      <c r="Q88" s="28"/>
      <c r="R88" s="28"/>
      <c r="S88" s="28"/>
      <c r="T88" s="518"/>
      <c r="U88" s="531">
        <f t="shared" si="40"/>
        <v>0</v>
      </c>
      <c r="V88" s="459">
        <f t="shared" si="41"/>
        <v>0</v>
      </c>
    </row>
    <row r="89" spans="2:22" ht="15">
      <c r="B89" s="26" t="s">
        <v>88</v>
      </c>
      <c r="C89" s="28">
        <v>286780000</v>
      </c>
      <c r="D89" s="28"/>
      <c r="E89" s="28"/>
      <c r="F89" s="28"/>
      <c r="G89" s="28"/>
      <c r="H89" s="28"/>
      <c r="I89" s="28">
        <v>-10020807</v>
      </c>
      <c r="J89" s="28"/>
      <c r="K89" s="28"/>
      <c r="L89" s="28"/>
      <c r="M89" s="28"/>
      <c r="N89" s="51">
        <f t="shared" si="39"/>
        <v>276759193</v>
      </c>
      <c r="P89" s="426">
        <v>136059462</v>
      </c>
      <c r="Q89" s="28">
        <v>68029731</v>
      </c>
      <c r="R89" s="28">
        <f>+'[4]ITPA'!$K$355</f>
        <v>68029731</v>
      </c>
      <c r="S89" s="28"/>
      <c r="T89" s="518"/>
      <c r="U89" s="531">
        <f t="shared" si="40"/>
        <v>272118924</v>
      </c>
      <c r="V89" s="459">
        <f t="shared" si="41"/>
        <v>4640269</v>
      </c>
    </row>
    <row r="90" spans="2:22" ht="15">
      <c r="B90" s="26" t="s">
        <v>143</v>
      </c>
      <c r="C90" s="28">
        <v>21000000</v>
      </c>
      <c r="D90" s="28"/>
      <c r="E90" s="28"/>
      <c r="F90" s="28"/>
      <c r="G90" s="28"/>
      <c r="H90" s="28"/>
      <c r="I90" s="28">
        <v>0</v>
      </c>
      <c r="J90" s="28"/>
      <c r="K90" s="28"/>
      <c r="L90" s="28"/>
      <c r="M90" s="28"/>
      <c r="N90" s="51">
        <f t="shared" si="39"/>
        <v>21000000</v>
      </c>
      <c r="P90" s="426"/>
      <c r="Q90" s="28"/>
      <c r="R90" s="28">
        <f>+'[4]MEJORAMIENTO GENETICO'!$K$201</f>
        <v>10458000</v>
      </c>
      <c r="S90" s="28">
        <f>+'[5]GENETICO'!$K$241</f>
        <v>8694000</v>
      </c>
      <c r="T90" s="518"/>
      <c r="U90" s="531">
        <f t="shared" si="40"/>
        <v>19152000</v>
      </c>
      <c r="V90" s="459">
        <f t="shared" si="41"/>
        <v>1848000</v>
      </c>
    </row>
    <row r="91" spans="2:22" ht="15">
      <c r="B91" s="26" t="s">
        <v>126</v>
      </c>
      <c r="C91" s="28">
        <v>0</v>
      </c>
      <c r="D91" s="28"/>
      <c r="E91" s="28"/>
      <c r="F91" s="28"/>
      <c r="G91" s="28"/>
      <c r="H91" s="28"/>
      <c r="I91" s="28">
        <v>0</v>
      </c>
      <c r="J91" s="28"/>
      <c r="K91" s="28"/>
      <c r="L91" s="28"/>
      <c r="M91" s="28"/>
      <c r="N91" s="51">
        <f t="shared" si="39"/>
        <v>0</v>
      </c>
      <c r="P91" s="426"/>
      <c r="Q91" s="28"/>
      <c r="R91" s="28"/>
      <c r="S91" s="28"/>
      <c r="T91" s="518"/>
      <c r="U91" s="531">
        <f t="shared" si="40"/>
        <v>0</v>
      </c>
      <c r="V91" s="459">
        <f t="shared" si="41"/>
        <v>0</v>
      </c>
    </row>
    <row r="92" spans="2:22" ht="15">
      <c r="B92" s="26" t="s">
        <v>294</v>
      </c>
      <c r="C92" s="28">
        <v>0</v>
      </c>
      <c r="D92" s="28"/>
      <c r="E92" s="28"/>
      <c r="F92" s="28"/>
      <c r="G92" s="28"/>
      <c r="H92" s="28"/>
      <c r="I92" s="28">
        <v>0</v>
      </c>
      <c r="J92" s="28"/>
      <c r="K92" s="28"/>
      <c r="L92" s="28"/>
      <c r="M92" s="28"/>
      <c r="N92" s="51">
        <f t="shared" si="39"/>
        <v>0</v>
      </c>
      <c r="P92" s="426"/>
      <c r="Q92" s="28"/>
      <c r="R92" s="28"/>
      <c r="S92" s="28"/>
      <c r="T92" s="518"/>
      <c r="U92" s="531">
        <f t="shared" si="40"/>
        <v>0</v>
      </c>
      <c r="V92" s="459">
        <f t="shared" si="41"/>
        <v>0</v>
      </c>
    </row>
    <row r="93" spans="2:22" ht="15">
      <c r="B93" s="26" t="s">
        <v>171</v>
      </c>
      <c r="C93" s="28">
        <v>44000000</v>
      </c>
      <c r="D93" s="28"/>
      <c r="E93" s="28"/>
      <c r="F93" s="28"/>
      <c r="G93" s="28"/>
      <c r="H93" s="28"/>
      <c r="I93" s="28">
        <v>-12000000</v>
      </c>
      <c r="J93" s="28"/>
      <c r="K93" s="28"/>
      <c r="L93" s="28"/>
      <c r="M93" s="28"/>
      <c r="N93" s="51">
        <f t="shared" si="39"/>
        <v>32000000</v>
      </c>
      <c r="P93" s="426">
        <v>32000000</v>
      </c>
      <c r="Q93" s="28"/>
      <c r="R93" s="28"/>
      <c r="S93" s="28"/>
      <c r="T93" s="518"/>
      <c r="U93" s="531">
        <f t="shared" si="40"/>
        <v>32000000</v>
      </c>
      <c r="V93" s="459">
        <f t="shared" si="41"/>
        <v>0</v>
      </c>
    </row>
    <row r="94" spans="2:22" ht="15">
      <c r="B94" s="26" t="s">
        <v>129</v>
      </c>
      <c r="C94" s="28">
        <v>0</v>
      </c>
      <c r="D94" s="28"/>
      <c r="E94" s="28"/>
      <c r="F94" s="28"/>
      <c r="G94" s="28"/>
      <c r="H94" s="28"/>
      <c r="I94" s="28">
        <v>0</v>
      </c>
      <c r="J94" s="28"/>
      <c r="K94" s="28"/>
      <c r="L94" s="28"/>
      <c r="M94" s="28"/>
      <c r="N94" s="51">
        <f t="shared" si="39"/>
        <v>0</v>
      </c>
      <c r="P94" s="426"/>
      <c r="Q94" s="28"/>
      <c r="R94" s="28"/>
      <c r="S94" s="28"/>
      <c r="T94" s="518"/>
      <c r="U94" s="531">
        <f t="shared" si="40"/>
        <v>0</v>
      </c>
      <c r="V94" s="459">
        <f t="shared" si="41"/>
        <v>0</v>
      </c>
    </row>
    <row r="95" spans="2:22" ht="15">
      <c r="B95" s="26" t="s">
        <v>144</v>
      </c>
      <c r="C95" s="28">
        <v>0</v>
      </c>
      <c r="D95" s="28"/>
      <c r="E95" s="28"/>
      <c r="F95" s="28"/>
      <c r="G95" s="28"/>
      <c r="H95" s="28"/>
      <c r="I95" s="28">
        <v>0</v>
      </c>
      <c r="J95" s="28"/>
      <c r="K95" s="28"/>
      <c r="L95" s="28"/>
      <c r="M95" s="28"/>
      <c r="N95" s="51">
        <f t="shared" si="39"/>
        <v>0</v>
      </c>
      <c r="P95" s="426"/>
      <c r="Q95" s="28"/>
      <c r="R95" s="28"/>
      <c r="S95" s="28"/>
      <c r="T95" s="518"/>
      <c r="U95" s="531">
        <f t="shared" si="40"/>
        <v>0</v>
      </c>
      <c r="V95" s="459">
        <f t="shared" si="41"/>
        <v>0</v>
      </c>
    </row>
    <row r="96" spans="2:22" ht="15">
      <c r="B96" s="26" t="s">
        <v>127</v>
      </c>
      <c r="C96" s="28">
        <v>0</v>
      </c>
      <c r="D96" s="28"/>
      <c r="E96" s="28"/>
      <c r="F96" s="28"/>
      <c r="G96" s="28"/>
      <c r="H96" s="28"/>
      <c r="I96" s="28">
        <v>0</v>
      </c>
      <c r="J96" s="28"/>
      <c r="K96" s="28"/>
      <c r="L96" s="28"/>
      <c r="M96" s="28"/>
      <c r="N96" s="51">
        <f t="shared" si="39"/>
        <v>0</v>
      </c>
      <c r="P96" s="426"/>
      <c r="Q96" s="28"/>
      <c r="R96" s="28"/>
      <c r="S96" s="28"/>
      <c r="T96" s="518"/>
      <c r="U96" s="531">
        <f t="shared" si="40"/>
        <v>0</v>
      </c>
      <c r="V96" s="459">
        <f t="shared" si="41"/>
        <v>0</v>
      </c>
    </row>
    <row r="97" spans="2:22" ht="15">
      <c r="B97" s="26" t="s">
        <v>142</v>
      </c>
      <c r="C97" s="28">
        <v>0</v>
      </c>
      <c r="D97" s="28"/>
      <c r="E97" s="28"/>
      <c r="F97" s="28"/>
      <c r="G97" s="28"/>
      <c r="H97" s="28"/>
      <c r="I97" s="28">
        <v>0</v>
      </c>
      <c r="J97" s="28"/>
      <c r="K97" s="28"/>
      <c r="L97" s="28"/>
      <c r="M97" s="28"/>
      <c r="N97" s="51">
        <f t="shared" si="39"/>
        <v>0</v>
      </c>
      <c r="P97" s="426"/>
      <c r="Q97" s="28"/>
      <c r="R97" s="28"/>
      <c r="S97" s="28"/>
      <c r="T97" s="518"/>
      <c r="U97" s="531">
        <f t="shared" si="40"/>
        <v>0</v>
      </c>
      <c r="V97" s="459">
        <f t="shared" si="41"/>
        <v>0</v>
      </c>
    </row>
    <row r="98" spans="2:22" ht="15">
      <c r="B98" s="26" t="s">
        <v>131</v>
      </c>
      <c r="C98" s="28">
        <v>0</v>
      </c>
      <c r="D98" s="28"/>
      <c r="E98" s="28"/>
      <c r="F98" s="28"/>
      <c r="G98" s="28"/>
      <c r="H98" s="28"/>
      <c r="I98" s="28">
        <v>0</v>
      </c>
      <c r="J98" s="28"/>
      <c r="K98" s="28"/>
      <c r="L98" s="28"/>
      <c r="M98" s="28"/>
      <c r="N98" s="51">
        <f t="shared" si="39"/>
        <v>0</v>
      </c>
      <c r="P98" s="426"/>
      <c r="Q98" s="28"/>
      <c r="R98" s="28"/>
      <c r="S98" s="28"/>
      <c r="T98" s="518"/>
      <c r="U98" s="531">
        <f t="shared" si="40"/>
        <v>0</v>
      </c>
      <c r="V98" s="459">
        <f t="shared" si="41"/>
        <v>0</v>
      </c>
    </row>
    <row r="99" spans="2:22" ht="15">
      <c r="B99" s="26" t="s">
        <v>132</v>
      </c>
      <c r="C99" s="28">
        <v>0</v>
      </c>
      <c r="D99" s="28"/>
      <c r="E99" s="28"/>
      <c r="F99" s="28"/>
      <c r="G99" s="28"/>
      <c r="H99" s="28"/>
      <c r="I99" s="28">
        <v>0</v>
      </c>
      <c r="J99" s="28"/>
      <c r="K99" s="28"/>
      <c r="L99" s="28"/>
      <c r="M99" s="28"/>
      <c r="N99" s="51">
        <f t="shared" si="39"/>
        <v>0</v>
      </c>
      <c r="P99" s="426"/>
      <c r="Q99" s="28"/>
      <c r="R99" s="28"/>
      <c r="S99" s="28"/>
      <c r="T99" s="518"/>
      <c r="U99" s="531">
        <f t="shared" si="40"/>
        <v>0</v>
      </c>
      <c r="V99" s="459">
        <f t="shared" si="41"/>
        <v>0</v>
      </c>
    </row>
    <row r="100" spans="2:22" ht="15">
      <c r="B100" s="26" t="s">
        <v>281</v>
      </c>
      <c r="C100" s="28">
        <v>60000000</v>
      </c>
      <c r="D100" s="28"/>
      <c r="E100" s="28"/>
      <c r="F100" s="28"/>
      <c r="G100" s="28"/>
      <c r="H100" s="28"/>
      <c r="I100" s="28">
        <v>0</v>
      </c>
      <c r="J100" s="28"/>
      <c r="K100" s="28"/>
      <c r="L100" s="28"/>
      <c r="M100" s="28"/>
      <c r="N100" s="51">
        <f t="shared" si="39"/>
        <v>60000000</v>
      </c>
      <c r="P100" s="426">
        <v>30000000</v>
      </c>
      <c r="Q100" s="28"/>
      <c r="R100" s="28">
        <f>+'[4]ITPA'!$K$341</f>
        <v>15000000</v>
      </c>
      <c r="S100" s="28">
        <f>+'[5]ITPA'!$K$333</f>
        <v>15000000</v>
      </c>
      <c r="T100" s="518"/>
      <c r="U100" s="531">
        <f t="shared" si="40"/>
        <v>60000000</v>
      </c>
      <c r="V100" s="459">
        <f t="shared" si="41"/>
        <v>0</v>
      </c>
    </row>
    <row r="101" spans="2:22" ht="15">
      <c r="B101" s="26" t="s">
        <v>282</v>
      </c>
      <c r="C101" s="28">
        <v>40000000</v>
      </c>
      <c r="D101" s="28"/>
      <c r="E101" s="28"/>
      <c r="F101" s="28">
        <v>0</v>
      </c>
      <c r="G101" s="28"/>
      <c r="H101" s="28"/>
      <c r="I101" s="28">
        <v>0</v>
      </c>
      <c r="J101" s="28"/>
      <c r="K101" s="28"/>
      <c r="L101" s="28"/>
      <c r="M101" s="28"/>
      <c r="N101" s="51">
        <f t="shared" si="39"/>
        <v>40000000</v>
      </c>
      <c r="P101" s="426">
        <v>31783500</v>
      </c>
      <c r="Q101" s="28">
        <v>5251579</v>
      </c>
      <c r="R101" s="28"/>
      <c r="S101" s="28">
        <f>+'[5]ITPA'!$K$340</f>
        <v>2614701</v>
      </c>
      <c r="T101" s="518"/>
      <c r="U101" s="531">
        <f>SUM(P101:T101)</f>
        <v>39649780</v>
      </c>
      <c r="V101" s="459">
        <f t="shared" si="41"/>
        <v>350220</v>
      </c>
    </row>
    <row r="102" spans="2:22" ht="15">
      <c r="B102" s="26" t="s">
        <v>283</v>
      </c>
      <c r="C102" s="28">
        <v>2231250000</v>
      </c>
      <c r="D102" s="28"/>
      <c r="E102" s="28"/>
      <c r="F102" s="28"/>
      <c r="G102" s="28"/>
      <c r="H102" s="28"/>
      <c r="I102" s="28">
        <v>0</v>
      </c>
      <c r="J102" s="28"/>
      <c r="K102" s="28"/>
      <c r="L102" s="28"/>
      <c r="M102" s="28"/>
      <c r="N102" s="51">
        <f t="shared" si="39"/>
        <v>2231250000</v>
      </c>
      <c r="P102" s="426"/>
      <c r="Q102" s="28">
        <v>557812500</v>
      </c>
      <c r="R102" s="28">
        <f>+'[4]SEMILLA CERTIFICADA'!$K$127</f>
        <v>557812500</v>
      </c>
      <c r="S102" s="28">
        <f>+'[5]SEMILLA CERT'!$K$129</f>
        <v>1115625000</v>
      </c>
      <c r="T102" s="518"/>
      <c r="U102" s="531">
        <f t="shared" si="40"/>
        <v>2231250000</v>
      </c>
      <c r="V102" s="459">
        <f t="shared" si="41"/>
        <v>0</v>
      </c>
    </row>
    <row r="103" spans="2:22" ht="15">
      <c r="B103" s="26" t="s">
        <v>284</v>
      </c>
      <c r="C103" s="28">
        <v>4800000</v>
      </c>
      <c r="D103" s="28"/>
      <c r="E103" s="28"/>
      <c r="F103" s="28"/>
      <c r="G103" s="28"/>
      <c r="H103" s="28"/>
      <c r="I103" s="28">
        <v>0</v>
      </c>
      <c r="J103" s="28"/>
      <c r="K103" s="28"/>
      <c r="L103" s="28"/>
      <c r="M103" s="28"/>
      <c r="N103" s="51">
        <f t="shared" si="39"/>
        <v>4800000</v>
      </c>
      <c r="P103" s="426"/>
      <c r="Q103" s="28"/>
      <c r="R103" s="28"/>
      <c r="S103" s="28">
        <f>+'[5]SEMILLA CERT'!$K$122</f>
        <v>0</v>
      </c>
      <c r="T103" s="518"/>
      <c r="U103" s="531">
        <f t="shared" si="40"/>
        <v>0</v>
      </c>
      <c r="V103" s="459">
        <f t="shared" si="41"/>
        <v>4800000</v>
      </c>
    </row>
    <row r="104" spans="2:22" ht="15">
      <c r="B104" s="26" t="s">
        <v>285</v>
      </c>
      <c r="C104" s="28">
        <v>13000000</v>
      </c>
      <c r="D104" s="28"/>
      <c r="E104" s="28"/>
      <c r="F104" s="28"/>
      <c r="G104" s="28"/>
      <c r="H104" s="28"/>
      <c r="I104" s="28">
        <v>0</v>
      </c>
      <c r="J104" s="28"/>
      <c r="K104" s="28"/>
      <c r="L104" s="28"/>
      <c r="M104" s="28"/>
      <c r="N104" s="51">
        <f t="shared" si="39"/>
        <v>13000000</v>
      </c>
      <c r="P104" s="426"/>
      <c r="Q104" s="28"/>
      <c r="R104" s="28">
        <f>+'[4]MEJORAMIENTO GENETICO'!$K$191</f>
        <v>679014</v>
      </c>
      <c r="S104" s="28">
        <f>+'[5]GENETICO'!$K$224</f>
        <v>11840456</v>
      </c>
      <c r="T104" s="518"/>
      <c r="U104" s="531">
        <f t="shared" si="40"/>
        <v>12519470</v>
      </c>
      <c r="V104" s="459">
        <f t="shared" si="41"/>
        <v>480530</v>
      </c>
    </row>
    <row r="105" spans="2:22" ht="15">
      <c r="B105" s="42" t="s">
        <v>286</v>
      </c>
      <c r="C105" s="29">
        <f aca="true" t="shared" si="42" ref="C105:N105">SUM(C106:C110)</f>
        <v>2553030000</v>
      </c>
      <c r="D105" s="29">
        <f t="shared" si="42"/>
        <v>0</v>
      </c>
      <c r="E105" s="29">
        <f t="shared" si="42"/>
        <v>26071600</v>
      </c>
      <c r="F105" s="29">
        <f t="shared" si="42"/>
        <v>0</v>
      </c>
      <c r="G105" s="29">
        <f>SUM(G106:G110)</f>
        <v>0</v>
      </c>
      <c r="H105" s="29">
        <f t="shared" si="42"/>
        <v>0</v>
      </c>
      <c r="I105" s="29">
        <f>SUM(I106:I110)</f>
        <v>-1777298</v>
      </c>
      <c r="J105" s="29">
        <f>SUM(J106:J110)</f>
        <v>0</v>
      </c>
      <c r="K105" s="29">
        <f>SUM(K106:K110)</f>
        <v>0</v>
      </c>
      <c r="L105" s="29">
        <f>SUM(L106:L110)</f>
        <v>0</v>
      </c>
      <c r="M105" s="29">
        <f>SUM(M106:M110)</f>
        <v>0</v>
      </c>
      <c r="N105" s="38">
        <f t="shared" si="42"/>
        <v>2577324302</v>
      </c>
      <c r="P105" s="427">
        <f aca="true" t="shared" si="43" ref="P105:V105">SUM(P106:P110)</f>
        <v>130331195.84</v>
      </c>
      <c r="Q105" s="29">
        <f t="shared" si="43"/>
        <v>656882768</v>
      </c>
      <c r="R105" s="29">
        <f t="shared" si="43"/>
        <v>919675406</v>
      </c>
      <c r="S105" s="29">
        <f t="shared" si="43"/>
        <v>869716206</v>
      </c>
      <c r="T105" s="519">
        <f t="shared" si="43"/>
        <v>0.16000000000000003</v>
      </c>
      <c r="U105" s="533">
        <f t="shared" si="43"/>
        <v>2576605576</v>
      </c>
      <c r="V105" s="461">
        <f t="shared" si="43"/>
        <v>718726</v>
      </c>
    </row>
    <row r="106" spans="2:22" ht="15">
      <c r="B106" s="26" t="s">
        <v>72</v>
      </c>
      <c r="C106" s="28">
        <v>1839000000</v>
      </c>
      <c r="D106" s="28"/>
      <c r="E106" s="28">
        <v>12764000</v>
      </c>
      <c r="F106" s="28"/>
      <c r="G106" s="28"/>
      <c r="H106" s="28"/>
      <c r="I106" s="28">
        <v>0</v>
      </c>
      <c r="J106" s="28"/>
      <c r="K106" s="28"/>
      <c r="L106" s="28"/>
      <c r="M106" s="28"/>
      <c r="N106" s="51">
        <f>SUM(C106:M106)</f>
        <v>1851764000</v>
      </c>
      <c r="P106" s="426">
        <v>37399998.67</v>
      </c>
      <c r="Q106" s="28">
        <v>481850001</v>
      </c>
      <c r="R106" s="28">
        <f>+'[4]CAMPAÑA DE CONSUMO'!$K$186</f>
        <v>669795275</v>
      </c>
      <c r="S106" s="28">
        <v>661999999</v>
      </c>
      <c r="T106" s="518">
        <v>0.33</v>
      </c>
      <c r="U106" s="531">
        <f>SUM(P106:T106)</f>
        <v>1851045274</v>
      </c>
      <c r="V106" s="459">
        <f>+N106-U106</f>
        <v>718726</v>
      </c>
    </row>
    <row r="107" spans="2:22" ht="15">
      <c r="B107" s="26" t="s">
        <v>73</v>
      </c>
      <c r="C107" s="28">
        <v>200000000</v>
      </c>
      <c r="D107" s="28"/>
      <c r="E107" s="28">
        <v>0</v>
      </c>
      <c r="F107" s="28"/>
      <c r="G107" s="28"/>
      <c r="H107" s="28"/>
      <c r="I107" s="28">
        <v>0</v>
      </c>
      <c r="J107" s="28"/>
      <c r="K107" s="28"/>
      <c r="L107" s="28"/>
      <c r="M107" s="28"/>
      <c r="N107" s="51">
        <f>SUM(C107:M107)</f>
        <v>200000000</v>
      </c>
      <c r="P107" s="426">
        <v>18181817.22</v>
      </c>
      <c r="Q107" s="28">
        <v>60606060</v>
      </c>
      <c r="R107" s="28">
        <f>+'[4]CAMPAÑA DE CONSUMO'!$K$207</f>
        <v>60606061</v>
      </c>
      <c r="S107" s="28">
        <v>60606062</v>
      </c>
      <c r="T107" s="518">
        <v>-0.22</v>
      </c>
      <c r="U107" s="531">
        <f>SUM(P107:T107)</f>
        <v>200000000</v>
      </c>
      <c r="V107" s="459">
        <f>+N107-U107</f>
        <v>0</v>
      </c>
    </row>
    <row r="108" spans="2:22" ht="15">
      <c r="B108" s="26" t="s">
        <v>74</v>
      </c>
      <c r="C108" s="28">
        <v>424030000</v>
      </c>
      <c r="D108" s="28"/>
      <c r="E108" s="28">
        <v>13307600</v>
      </c>
      <c r="F108" s="28"/>
      <c r="G108" s="28"/>
      <c r="H108" s="28"/>
      <c r="I108" s="28">
        <v>-1274184</v>
      </c>
      <c r="J108" s="28"/>
      <c r="K108" s="28"/>
      <c r="L108" s="28"/>
      <c r="M108" s="28"/>
      <c r="N108" s="51">
        <f>SUM(C108:M108)</f>
        <v>436063416</v>
      </c>
      <c r="P108" s="426">
        <v>74749379.95</v>
      </c>
      <c r="Q108" s="28">
        <v>104426707</v>
      </c>
      <c r="R108" s="28">
        <f>+'[4]CAMPAÑA DE CONSUMO'!$K$214</f>
        <v>145774070</v>
      </c>
      <c r="S108" s="28">
        <v>111113259</v>
      </c>
      <c r="T108" s="518">
        <v>0.05</v>
      </c>
      <c r="U108" s="531">
        <f>SUM(P108:T108)</f>
        <v>436063416</v>
      </c>
      <c r="V108" s="459">
        <f>+N108-U108</f>
        <v>0</v>
      </c>
    </row>
    <row r="109" spans="2:22" ht="15">
      <c r="B109" s="26" t="s">
        <v>287</v>
      </c>
      <c r="C109" s="28">
        <v>60000000</v>
      </c>
      <c r="D109" s="28"/>
      <c r="E109" s="28"/>
      <c r="F109" s="28"/>
      <c r="G109" s="28"/>
      <c r="H109" s="28"/>
      <c r="I109" s="28">
        <v>-3114</v>
      </c>
      <c r="J109" s="28"/>
      <c r="K109" s="28"/>
      <c r="L109" s="28"/>
      <c r="M109" s="28"/>
      <c r="N109" s="51">
        <f>SUM(C109:M109)</f>
        <v>59996886</v>
      </c>
      <c r="P109" s="426"/>
      <c r="Q109" s="28">
        <v>0</v>
      </c>
      <c r="R109" s="28">
        <f>+'[4]CAMPAÑA DE CONSUMO'!$K$236</f>
        <v>24000000</v>
      </c>
      <c r="S109" s="28">
        <v>35996886</v>
      </c>
      <c r="T109" s="518"/>
      <c r="U109" s="531">
        <f>SUM(P109:T109)</f>
        <v>59996886</v>
      </c>
      <c r="V109" s="459">
        <f>+N109-U109</f>
        <v>0</v>
      </c>
    </row>
    <row r="110" spans="2:22" ht="15">
      <c r="B110" s="26" t="s">
        <v>288</v>
      </c>
      <c r="C110" s="28">
        <v>30000000</v>
      </c>
      <c r="D110" s="28"/>
      <c r="E110" s="28"/>
      <c r="F110" s="28"/>
      <c r="G110" s="28"/>
      <c r="H110" s="28"/>
      <c r="I110" s="28">
        <v>-500000</v>
      </c>
      <c r="J110" s="28"/>
      <c r="K110" s="28"/>
      <c r="L110" s="28"/>
      <c r="M110" s="28"/>
      <c r="N110" s="51">
        <f>SUM(C110:M110)</f>
        <v>29500000</v>
      </c>
      <c r="P110" s="426"/>
      <c r="Q110" s="28">
        <v>10000000</v>
      </c>
      <c r="R110" s="28">
        <f>+'[4]CAMPAÑA DE CONSUMO'!$K$242</f>
        <v>19500000</v>
      </c>
      <c r="S110" s="28"/>
      <c r="T110" s="518"/>
      <c r="U110" s="531">
        <f>SUM(P110:T110)</f>
        <v>29500000</v>
      </c>
      <c r="V110" s="459">
        <f>+N110-U110</f>
        <v>0</v>
      </c>
    </row>
    <row r="111" spans="2:22" ht="15">
      <c r="B111" s="42" t="s">
        <v>244</v>
      </c>
      <c r="C111" s="29">
        <f aca="true" t="shared" si="44" ref="C111:N111">SUM(C112:C115)</f>
        <v>416845000</v>
      </c>
      <c r="D111" s="29">
        <f t="shared" si="44"/>
        <v>0</v>
      </c>
      <c r="E111" s="29">
        <f t="shared" si="44"/>
        <v>13456360.00000003</v>
      </c>
      <c r="F111" s="29">
        <f t="shared" si="44"/>
        <v>0</v>
      </c>
      <c r="G111" s="29">
        <f>SUM(G112:G115)</f>
        <v>0</v>
      </c>
      <c r="H111" s="29">
        <f t="shared" si="44"/>
        <v>0</v>
      </c>
      <c r="I111" s="29">
        <f>SUM(I112:I115)</f>
        <v>-19065121</v>
      </c>
      <c r="J111" s="29">
        <f>SUM(J112:J115)</f>
        <v>0</v>
      </c>
      <c r="K111" s="29">
        <f>SUM(K112:K115)</f>
        <v>0</v>
      </c>
      <c r="L111" s="29">
        <f>SUM(L112:L115)</f>
        <v>0</v>
      </c>
      <c r="M111" s="29">
        <f>SUM(M112:M115)</f>
        <v>0</v>
      </c>
      <c r="N111" s="38">
        <f t="shared" si="44"/>
        <v>411236239</v>
      </c>
      <c r="P111" s="427">
        <f aca="true" t="shared" si="45" ref="P111:V111">SUM(P112:P115)</f>
        <v>37780892.160000004</v>
      </c>
      <c r="Q111" s="29">
        <f t="shared" si="45"/>
        <v>124368671</v>
      </c>
      <c r="R111" s="29">
        <f>SUM(R112:R115)</f>
        <v>124368671</v>
      </c>
      <c r="S111" s="29">
        <f>SUM(S112:S115)</f>
        <v>124368672</v>
      </c>
      <c r="T111" s="519">
        <f t="shared" si="45"/>
        <v>-0.16</v>
      </c>
      <c r="U111" s="533">
        <f t="shared" si="45"/>
        <v>410886906</v>
      </c>
      <c r="V111" s="461">
        <f t="shared" si="45"/>
        <v>349333</v>
      </c>
    </row>
    <row r="112" spans="2:22" ht="15">
      <c r="B112" s="26" t="s">
        <v>245</v>
      </c>
      <c r="C112" s="41">
        <v>218844999.99999997</v>
      </c>
      <c r="D112" s="41"/>
      <c r="E112" s="41">
        <v>7840360.00000003</v>
      </c>
      <c r="F112" s="41"/>
      <c r="G112" s="41"/>
      <c r="H112" s="41"/>
      <c r="I112" s="41">
        <v>-18890454</v>
      </c>
      <c r="J112" s="41"/>
      <c r="K112" s="41"/>
      <c r="L112" s="41"/>
      <c r="M112" s="41"/>
      <c r="N112" s="51">
        <f>SUM(C112:M112)</f>
        <v>207794906</v>
      </c>
      <c r="P112" s="432">
        <f>37780891.56+0.6</f>
        <v>37780892.160000004</v>
      </c>
      <c r="Q112" s="41">
        <v>56671338</v>
      </c>
      <c r="R112" s="41">
        <f>+'[4]SISTEMAS DE INFORMACION'!$K$201</f>
        <v>56671338</v>
      </c>
      <c r="S112" s="41">
        <f>+'[5]SISTEMAS DE INFORMACION'!$K$230</f>
        <v>56671338</v>
      </c>
      <c r="T112" s="524">
        <v>-0.16</v>
      </c>
      <c r="U112" s="531">
        <f>SUM(P112:T112)</f>
        <v>207794906</v>
      </c>
      <c r="V112" s="459">
        <f>+N112-U112</f>
        <v>0</v>
      </c>
    </row>
    <row r="113" spans="2:22" ht="15">
      <c r="B113" s="26" t="s">
        <v>290</v>
      </c>
      <c r="C113" s="41">
        <v>66000000</v>
      </c>
      <c r="D113" s="41"/>
      <c r="E113" s="41">
        <v>1872000</v>
      </c>
      <c r="F113" s="41"/>
      <c r="G113" s="41"/>
      <c r="H113" s="41"/>
      <c r="I113" s="41">
        <v>-50667</v>
      </c>
      <c r="J113" s="41"/>
      <c r="K113" s="41"/>
      <c r="L113" s="41"/>
      <c r="M113" s="41"/>
      <c r="N113" s="51">
        <f>SUM(C113:M113)</f>
        <v>67821333</v>
      </c>
      <c r="P113" s="432"/>
      <c r="Q113" s="41">
        <v>22573333</v>
      </c>
      <c r="R113" s="41">
        <f>+'[4]SISTEMAS DE INFORMACION'!$K$180</f>
        <v>22573333</v>
      </c>
      <c r="S113" s="41">
        <f>+'[5]SISTEMAS DE INFORMACION'!$K$209</f>
        <v>22573334</v>
      </c>
      <c r="T113" s="524"/>
      <c r="U113" s="531">
        <f>SUM(P113:T113)</f>
        <v>67720000</v>
      </c>
      <c r="V113" s="459">
        <f>+N113-U113</f>
        <v>101333</v>
      </c>
    </row>
    <row r="114" spans="2:22" ht="15">
      <c r="B114" s="26" t="s">
        <v>289</v>
      </c>
      <c r="C114" s="41">
        <v>66000000</v>
      </c>
      <c r="D114" s="41"/>
      <c r="E114" s="41">
        <v>1872000</v>
      </c>
      <c r="F114" s="41"/>
      <c r="G114" s="41"/>
      <c r="H114" s="41"/>
      <c r="I114" s="41">
        <v>0</v>
      </c>
      <c r="J114" s="41"/>
      <c r="K114" s="41"/>
      <c r="L114" s="41"/>
      <c r="M114" s="41"/>
      <c r="N114" s="51">
        <f>SUM(C114:M114)</f>
        <v>67872000</v>
      </c>
      <c r="P114" s="432"/>
      <c r="Q114" s="41">
        <v>22624000</v>
      </c>
      <c r="R114" s="41">
        <f>+'[4]SISTEMAS DE INFORMACION'!$K$187</f>
        <v>22624000</v>
      </c>
      <c r="S114" s="41">
        <f>+'[5]SISTEMAS DE INFORMACION'!$K$216</f>
        <v>22624000</v>
      </c>
      <c r="T114" s="524"/>
      <c r="U114" s="531">
        <f>SUM(P114:T114)</f>
        <v>67872000</v>
      </c>
      <c r="V114" s="459">
        <f>+N114-U114</f>
        <v>0</v>
      </c>
    </row>
    <row r="115" spans="2:22" ht="15">
      <c r="B115" s="26" t="s">
        <v>291</v>
      </c>
      <c r="C115" s="41">
        <v>66000000</v>
      </c>
      <c r="D115" s="41"/>
      <c r="E115" s="41">
        <v>1872000</v>
      </c>
      <c r="F115" s="41"/>
      <c r="G115" s="41"/>
      <c r="H115" s="41"/>
      <c r="I115" s="41">
        <v>-124000</v>
      </c>
      <c r="J115" s="41"/>
      <c r="K115" s="41"/>
      <c r="L115" s="41"/>
      <c r="M115" s="41"/>
      <c r="N115" s="51">
        <f>SUM(C115:M115)</f>
        <v>67748000</v>
      </c>
      <c r="P115" s="432"/>
      <c r="Q115" s="41">
        <v>22500000</v>
      </c>
      <c r="R115" s="41">
        <f>+'[4]SISTEMAS DE INFORMACION'!$K$194</f>
        <v>22500000</v>
      </c>
      <c r="S115" s="41">
        <f>+'[5]SISTEMAS DE INFORMACION'!$K$223</f>
        <v>22500000</v>
      </c>
      <c r="T115" s="524"/>
      <c r="U115" s="531">
        <f>SUM(P115:T115)</f>
        <v>67500000</v>
      </c>
      <c r="V115" s="459">
        <f>+N115-U115</f>
        <v>248000</v>
      </c>
    </row>
    <row r="116" spans="2:22" ht="15">
      <c r="B116" s="42" t="s">
        <v>292</v>
      </c>
      <c r="C116" s="29">
        <f aca="true" t="shared" si="46" ref="C116:N116">+C117</f>
        <v>132000000</v>
      </c>
      <c r="D116" s="29">
        <f t="shared" si="46"/>
        <v>0</v>
      </c>
      <c r="E116" s="29">
        <f t="shared" si="46"/>
        <v>0</v>
      </c>
      <c r="F116" s="29">
        <f t="shared" si="46"/>
        <v>0</v>
      </c>
      <c r="G116" s="29">
        <f t="shared" si="46"/>
        <v>0</v>
      </c>
      <c r="H116" s="29">
        <f t="shared" si="46"/>
        <v>0</v>
      </c>
      <c r="I116" s="29">
        <f t="shared" si="46"/>
        <v>0</v>
      </c>
      <c r="J116" s="29">
        <f t="shared" si="46"/>
        <v>0</v>
      </c>
      <c r="K116" s="29">
        <f t="shared" si="46"/>
        <v>0</v>
      </c>
      <c r="L116" s="29">
        <f t="shared" si="46"/>
        <v>0</v>
      </c>
      <c r="M116" s="29">
        <f t="shared" si="46"/>
        <v>0</v>
      </c>
      <c r="N116" s="38">
        <f t="shared" si="46"/>
        <v>132000000</v>
      </c>
      <c r="P116" s="427">
        <f aca="true" t="shared" si="47" ref="P116:V116">+P117</f>
        <v>0</v>
      </c>
      <c r="Q116" s="29">
        <f t="shared" si="47"/>
        <v>33000000</v>
      </c>
      <c r="R116" s="29">
        <f t="shared" si="47"/>
        <v>59400000</v>
      </c>
      <c r="S116" s="29">
        <f t="shared" si="47"/>
        <v>39600000</v>
      </c>
      <c r="T116" s="519">
        <f t="shared" si="47"/>
        <v>0</v>
      </c>
      <c r="U116" s="533">
        <f t="shared" si="47"/>
        <v>132000000</v>
      </c>
      <c r="V116" s="461">
        <f t="shared" si="47"/>
        <v>0</v>
      </c>
    </row>
    <row r="117" spans="2:22" ht="15.75" thickBot="1">
      <c r="B117" s="26" t="s">
        <v>293</v>
      </c>
      <c r="C117" s="41">
        <v>132000000</v>
      </c>
      <c r="D117" s="41"/>
      <c r="E117" s="41"/>
      <c r="F117" s="41"/>
      <c r="G117" s="41"/>
      <c r="H117" s="41"/>
      <c r="I117" s="41"/>
      <c r="J117" s="41"/>
      <c r="K117" s="41"/>
      <c r="L117" s="41"/>
      <c r="M117" s="41"/>
      <c r="N117" s="51">
        <f>SUM(C117:M117)</f>
        <v>132000000</v>
      </c>
      <c r="P117" s="432"/>
      <c r="Q117" s="41">
        <v>33000000</v>
      </c>
      <c r="R117" s="41">
        <f>+'[4]ASOCIATIVIDAD'!$K$399</f>
        <v>59400000</v>
      </c>
      <c r="S117" s="41">
        <f>+'[5]ASOCIATIVIDAD'!$K$381</f>
        <v>39600000</v>
      </c>
      <c r="T117" s="524"/>
      <c r="U117" s="531">
        <f>SUM(P117:T117)</f>
        <v>132000000</v>
      </c>
      <c r="V117" s="459">
        <f>+N117-U117</f>
        <v>0</v>
      </c>
    </row>
    <row r="118" spans="2:22" ht="15">
      <c r="B118" s="43" t="s">
        <v>114</v>
      </c>
      <c r="C118" s="44">
        <f aca="true" t="shared" si="48" ref="C118:N118">+C51+C20+C49</f>
        <v>15084303053.725054</v>
      </c>
      <c r="D118" s="44">
        <f t="shared" si="48"/>
        <v>0</v>
      </c>
      <c r="E118" s="44">
        <f t="shared" si="48"/>
        <v>355168908.99685335</v>
      </c>
      <c r="F118" s="44">
        <f t="shared" si="48"/>
        <v>0</v>
      </c>
      <c r="G118" s="44">
        <f>+G51+G20+G49</f>
        <v>150000000</v>
      </c>
      <c r="H118" s="44">
        <f t="shared" si="48"/>
        <v>-106750000</v>
      </c>
      <c r="I118" s="44">
        <f>+I51+I20+I49</f>
        <v>-328915457.9</v>
      </c>
      <c r="J118" s="44">
        <f>+J51+J20+J49</f>
        <v>0</v>
      </c>
      <c r="K118" s="44">
        <f>+K51+K20+K49</f>
        <v>0</v>
      </c>
      <c r="L118" s="44">
        <f>+L51+L20+L49</f>
        <v>71085813.5</v>
      </c>
      <c r="M118" s="44">
        <f>+M51+M20+M49</f>
        <v>0</v>
      </c>
      <c r="N118" s="45">
        <f t="shared" si="48"/>
        <v>15224892318.321907</v>
      </c>
      <c r="P118" s="433">
        <f aca="true" t="shared" si="49" ref="P118:U118">+P51+P20+P49</f>
        <v>2580175907.16</v>
      </c>
      <c r="Q118" s="44">
        <f t="shared" si="49"/>
        <v>3759738034.6899996</v>
      </c>
      <c r="R118" s="44">
        <f t="shared" si="49"/>
        <v>3854437848</v>
      </c>
      <c r="S118" s="44">
        <f t="shared" si="49"/>
        <v>4527476265</v>
      </c>
      <c r="T118" s="525">
        <f t="shared" si="49"/>
        <v>0.30000000000000004</v>
      </c>
      <c r="U118" s="536">
        <f t="shared" si="49"/>
        <v>14721828055.15</v>
      </c>
      <c r="V118" s="464">
        <f>+V51+V20+V49</f>
        <v>503064263.1719073</v>
      </c>
    </row>
    <row r="119" spans="2:22" ht="15">
      <c r="B119" s="46" t="s">
        <v>45</v>
      </c>
      <c r="C119" s="29">
        <f aca="true" t="shared" si="50" ref="C119:N119">+C18-C118</f>
        <v>1510573544.8000336</v>
      </c>
      <c r="D119" s="29">
        <f t="shared" si="50"/>
        <v>6568137379.98774</v>
      </c>
      <c r="E119" s="29">
        <f t="shared" si="50"/>
        <v>-355168908.99685335</v>
      </c>
      <c r="F119" s="29">
        <f t="shared" si="50"/>
        <v>0</v>
      </c>
      <c r="G119" s="29">
        <f>+G18-G118</f>
        <v>2121300000</v>
      </c>
      <c r="H119" s="29">
        <f t="shared" si="50"/>
        <v>106750000</v>
      </c>
      <c r="I119" s="29">
        <f>+I18-I118</f>
        <v>100042168.89999998</v>
      </c>
      <c r="J119" s="29">
        <f>+J18-J118</f>
        <v>113731821</v>
      </c>
      <c r="K119" s="29">
        <f>+K18-K118</f>
        <v>0</v>
      </c>
      <c r="L119" s="29">
        <f>+L18-L118</f>
        <v>641964537.5</v>
      </c>
      <c r="M119" s="29">
        <f>+M18-M118</f>
        <v>0</v>
      </c>
      <c r="N119" s="38">
        <f t="shared" si="50"/>
        <v>10807330543.190922</v>
      </c>
      <c r="P119" s="427">
        <f aca="true" t="shared" si="51" ref="P119:V119">+P18-P118</f>
        <v>963529196.8400002</v>
      </c>
      <c r="Q119" s="29">
        <f t="shared" si="51"/>
        <v>0.3000001907348633</v>
      </c>
      <c r="R119" s="29">
        <f t="shared" si="51"/>
        <v>0.1044001579284668</v>
      </c>
      <c r="S119" s="29">
        <f>+S18-S118</f>
        <v>0</v>
      </c>
      <c r="T119" s="526">
        <f t="shared" si="51"/>
        <v>10707332213.027761</v>
      </c>
      <c r="U119" s="533">
        <f t="shared" si="51"/>
        <v>11670861410.272161</v>
      </c>
      <c r="V119" s="461">
        <f t="shared" si="51"/>
        <v>-863530867.0812414</v>
      </c>
    </row>
    <row r="120" spans="2:22" ht="15.75" thickBot="1">
      <c r="B120" s="47" t="s">
        <v>46</v>
      </c>
      <c r="C120" s="48">
        <f aca="true" t="shared" si="52" ref="C120:N120">SUM(C118:C119)</f>
        <v>16594876598.525087</v>
      </c>
      <c r="D120" s="48">
        <f t="shared" si="52"/>
        <v>6568137379.98774</v>
      </c>
      <c r="E120" s="48">
        <f t="shared" si="52"/>
        <v>0</v>
      </c>
      <c r="F120" s="48">
        <f t="shared" si="52"/>
        <v>0</v>
      </c>
      <c r="G120" s="48">
        <f>SUM(G118:G119)</f>
        <v>2271300000</v>
      </c>
      <c r="H120" s="48">
        <f t="shared" si="52"/>
        <v>0</v>
      </c>
      <c r="I120" s="48">
        <f>SUM(I118:I119)</f>
        <v>-228873289</v>
      </c>
      <c r="J120" s="48">
        <f>SUM(J118:J119)</f>
        <v>113731821</v>
      </c>
      <c r="K120" s="48">
        <f>SUM(K118:K119)</f>
        <v>0</v>
      </c>
      <c r="L120" s="48">
        <f>SUM(L118:L119)</f>
        <v>713050351</v>
      </c>
      <c r="M120" s="48">
        <f>SUM(M118:M119)</f>
        <v>0</v>
      </c>
      <c r="N120" s="49">
        <f t="shared" si="52"/>
        <v>26032222861.51283</v>
      </c>
      <c r="P120" s="434">
        <f aca="true" t="shared" si="53" ref="P120:V120">SUM(P118:P119)</f>
        <v>3543705104</v>
      </c>
      <c r="Q120" s="48">
        <f t="shared" si="53"/>
        <v>3759738034.99</v>
      </c>
      <c r="R120" s="48">
        <f t="shared" si="53"/>
        <v>3854437848.1044</v>
      </c>
      <c r="S120" s="48">
        <f t="shared" si="53"/>
        <v>4527476265</v>
      </c>
      <c r="T120" s="527">
        <f t="shared" si="53"/>
        <v>10707332213.32776</v>
      </c>
      <c r="U120" s="537">
        <f t="shared" si="53"/>
        <v>26392689465.42216</v>
      </c>
      <c r="V120" s="465">
        <f t="shared" si="53"/>
        <v>-360466603.90933406</v>
      </c>
    </row>
    <row r="121" spans="2:22" ht="15">
      <c r="B121" s="4" t="s">
        <v>47</v>
      </c>
      <c r="C121" s="3">
        <f aca="true" t="shared" si="54" ref="C121:N121">+C18-C120</f>
        <v>0</v>
      </c>
      <c r="D121" s="3">
        <f t="shared" si="54"/>
        <v>0</v>
      </c>
      <c r="E121" s="3">
        <f t="shared" si="54"/>
        <v>0</v>
      </c>
      <c r="F121" s="3">
        <f t="shared" si="54"/>
        <v>0</v>
      </c>
      <c r="G121" s="3">
        <f>+G18-G120</f>
        <v>0</v>
      </c>
      <c r="H121" s="3">
        <f t="shared" si="54"/>
        <v>0</v>
      </c>
      <c r="J121" s="3">
        <f>+J18-J120</f>
        <v>0</v>
      </c>
      <c r="L121" s="3">
        <f>+L18-L120</f>
        <v>0</v>
      </c>
      <c r="N121" s="3">
        <f t="shared" si="54"/>
        <v>0</v>
      </c>
      <c r="P121" s="3">
        <f aca="true" t="shared" si="55" ref="P121:V121">+P18-P120</f>
        <v>0</v>
      </c>
      <c r="Q121" s="3">
        <f t="shared" si="55"/>
        <v>0</v>
      </c>
      <c r="R121" s="3">
        <f t="shared" si="55"/>
        <v>0</v>
      </c>
      <c r="S121" s="3">
        <f t="shared" si="55"/>
        <v>0</v>
      </c>
      <c r="T121" s="456">
        <f t="shared" si="55"/>
        <v>0</v>
      </c>
      <c r="U121" s="3">
        <f t="shared" si="55"/>
        <v>0</v>
      </c>
      <c r="V121" s="3">
        <f t="shared" si="55"/>
        <v>0</v>
      </c>
    </row>
  </sheetData>
  <sheetProtection/>
  <mergeCells count="7">
    <mergeCell ref="B2:V2"/>
    <mergeCell ref="B3:V3"/>
    <mergeCell ref="B4:V4"/>
    <mergeCell ref="B5:V5"/>
    <mergeCell ref="B6:C6"/>
    <mergeCell ref="B8:B9"/>
    <mergeCell ref="V8:V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II131"/>
  <sheetViews>
    <sheetView zoomScale="90" zoomScaleNormal="90" zoomScalePageLayoutView="0" workbookViewId="0" topLeftCell="J45">
      <selection activeCell="N137" sqref="N137"/>
    </sheetView>
  </sheetViews>
  <sheetFormatPr defaultColWidth="11.421875" defaultRowHeight="15" outlineLevelRow="1" outlineLevelCol="1"/>
  <cols>
    <col min="1" max="1" width="5.421875" style="4" customWidth="1"/>
    <col min="2" max="2" width="42.00390625" style="4" customWidth="1"/>
    <col min="3" max="8" width="18.7109375" style="3" hidden="1" customWidth="1" outlineLevel="1"/>
    <col min="9" max="9" width="18.7109375" style="3" customWidth="1" collapsed="1"/>
    <col min="10" max="10" width="12.7109375" style="4" customWidth="1"/>
    <col min="11" max="12" width="18.7109375" style="3" customWidth="1"/>
    <col min="13" max="15" width="18.7109375" style="3" hidden="1" customWidth="1" outlineLevel="1"/>
    <col min="16" max="16" width="18.7109375" style="3" customWidth="1" collapsed="1"/>
    <col min="17" max="17" width="18.7109375" style="3" customWidth="1"/>
    <col min="18" max="18" width="16.57421875" style="456" customWidth="1"/>
    <col min="19" max="19" width="20.421875" style="3" customWidth="1"/>
    <col min="20" max="21" width="14.28125" style="4" customWidth="1"/>
    <col min="22" max="22" width="32.421875" style="4" customWidth="1"/>
    <col min="23" max="23" width="14.28125" style="4" customWidth="1"/>
    <col min="24" max="24" width="14.8515625" style="4" customWidth="1"/>
    <col min="25" max="25" width="4.28125" style="4" customWidth="1"/>
    <col min="26" max="27" width="21.140625" style="4" customWidth="1"/>
    <col min="28" max="28" width="15.421875" style="4" customWidth="1"/>
    <col min="29" max="29" width="18.421875" style="4" bestFit="1" customWidth="1"/>
    <col min="30" max="34" width="11.421875" style="4" customWidth="1"/>
    <col min="35" max="35" width="15.421875" style="4" bestFit="1" customWidth="1"/>
    <col min="36" max="243" width="11.421875" style="4" customWidth="1"/>
    <col min="244" max="16384" width="11.421875" style="66" customWidth="1"/>
  </cols>
  <sheetData>
    <row r="2" spans="2:19" ht="15">
      <c r="B2" s="551" t="s">
        <v>11</v>
      </c>
      <c r="C2" s="551"/>
      <c r="D2" s="551"/>
      <c r="E2" s="551"/>
      <c r="F2" s="551"/>
      <c r="G2" s="551"/>
      <c r="H2" s="551"/>
      <c r="I2" s="551"/>
      <c r="J2" s="551"/>
      <c r="K2" s="551"/>
      <c r="L2" s="551"/>
      <c r="M2" s="551"/>
      <c r="N2" s="551"/>
      <c r="O2" s="551"/>
      <c r="P2" s="551"/>
      <c r="Q2" s="551"/>
      <c r="S2" s="456"/>
    </row>
    <row r="3" spans="2:19" ht="15">
      <c r="B3" s="551" t="s">
        <v>12</v>
      </c>
      <c r="C3" s="551"/>
      <c r="D3" s="551"/>
      <c r="E3" s="551"/>
      <c r="F3" s="551"/>
      <c r="G3" s="551"/>
      <c r="H3" s="551"/>
      <c r="I3" s="551"/>
      <c r="J3" s="551"/>
      <c r="K3" s="551"/>
      <c r="L3" s="551"/>
      <c r="M3" s="551"/>
      <c r="N3" s="551"/>
      <c r="O3" s="551"/>
      <c r="P3" s="551"/>
      <c r="Q3" s="551"/>
      <c r="S3" s="456"/>
    </row>
    <row r="4" spans="2:19" ht="15">
      <c r="B4" s="551" t="s">
        <v>277</v>
      </c>
      <c r="C4" s="551"/>
      <c r="D4" s="551"/>
      <c r="E4" s="551"/>
      <c r="F4" s="551"/>
      <c r="G4" s="551"/>
      <c r="H4" s="551"/>
      <c r="I4" s="551"/>
      <c r="J4" s="551"/>
      <c r="K4" s="551"/>
      <c r="L4" s="551"/>
      <c r="M4" s="551"/>
      <c r="N4" s="551"/>
      <c r="O4" s="551"/>
      <c r="P4" s="551"/>
      <c r="Q4" s="551"/>
      <c r="S4" s="456"/>
    </row>
    <row r="5" spans="2:19" ht="15">
      <c r="B5" s="551" t="s">
        <v>13</v>
      </c>
      <c r="C5" s="551"/>
      <c r="D5" s="551"/>
      <c r="E5" s="551"/>
      <c r="F5" s="551"/>
      <c r="G5" s="551"/>
      <c r="H5" s="551"/>
      <c r="I5" s="551"/>
      <c r="J5" s="551"/>
      <c r="K5" s="551"/>
      <c r="L5" s="551"/>
      <c r="M5" s="551"/>
      <c r="N5" s="551"/>
      <c r="O5" s="551"/>
      <c r="P5" s="551"/>
      <c r="Q5" s="551"/>
      <c r="S5" s="456"/>
    </row>
    <row r="6" spans="2:19" ht="15">
      <c r="B6" s="551"/>
      <c r="C6" s="541"/>
      <c r="K6" s="4"/>
      <c r="L6" s="4"/>
      <c r="M6" s="4"/>
      <c r="N6" s="4"/>
      <c r="O6" s="4"/>
      <c r="P6" s="4"/>
      <c r="Q6" s="4"/>
      <c r="S6" s="4"/>
    </row>
    <row r="7" spans="2:19" ht="15.75" thickBot="1">
      <c r="B7" s="358"/>
      <c r="C7" s="5"/>
      <c r="D7" s="5"/>
      <c r="E7" s="5"/>
      <c r="F7" s="5"/>
      <c r="G7" s="5"/>
      <c r="H7" s="5"/>
      <c r="I7" s="5"/>
      <c r="K7" s="5" t="s">
        <v>304</v>
      </c>
      <c r="L7" s="5" t="s">
        <v>304</v>
      </c>
      <c r="M7" s="5"/>
      <c r="N7" s="5"/>
      <c r="O7" s="5"/>
      <c r="P7" s="5"/>
      <c r="Q7" s="5"/>
      <c r="S7" s="5" t="s">
        <v>310</v>
      </c>
    </row>
    <row r="8" spans="2:29" ht="15">
      <c r="B8" s="552" t="s">
        <v>14</v>
      </c>
      <c r="C8" s="6" t="s">
        <v>15</v>
      </c>
      <c r="D8" s="6" t="s">
        <v>309</v>
      </c>
      <c r="E8" s="6" t="s">
        <v>276</v>
      </c>
      <c r="F8" s="6" t="s">
        <v>17</v>
      </c>
      <c r="G8" s="6" t="s">
        <v>276</v>
      </c>
      <c r="H8" s="6" t="s">
        <v>308</v>
      </c>
      <c r="I8" s="7" t="s">
        <v>2</v>
      </c>
      <c r="K8" s="421" t="s">
        <v>296</v>
      </c>
      <c r="L8" s="6" t="s">
        <v>296</v>
      </c>
      <c r="M8" s="6" t="s">
        <v>296</v>
      </c>
      <c r="N8" s="6" t="s">
        <v>296</v>
      </c>
      <c r="O8" s="435" t="s">
        <v>273</v>
      </c>
      <c r="P8" s="421" t="s">
        <v>302</v>
      </c>
      <c r="Q8" s="7" t="s">
        <v>274</v>
      </c>
      <c r="S8" s="548" t="s">
        <v>311</v>
      </c>
      <c r="V8" s="550" t="s">
        <v>454</v>
      </c>
      <c r="W8" s="550"/>
      <c r="X8" s="492" t="s">
        <v>455</v>
      </c>
      <c r="Y8" s="499"/>
      <c r="Z8" s="499"/>
      <c r="AA8" s="500"/>
      <c r="AB8" s="500"/>
      <c r="AC8" s="500"/>
    </row>
    <row r="9" spans="1:243" s="455" customFormat="1" ht="15.75" thickBot="1">
      <c r="A9" s="450"/>
      <c r="B9" s="553"/>
      <c r="C9" s="451" t="s">
        <v>278</v>
      </c>
      <c r="D9" s="451" t="s">
        <v>275</v>
      </c>
      <c r="E9" s="451" t="s">
        <v>295</v>
      </c>
      <c r="F9" s="451" t="s">
        <v>305</v>
      </c>
      <c r="G9" s="451" t="s">
        <v>306</v>
      </c>
      <c r="H9" s="451" t="s">
        <v>307</v>
      </c>
      <c r="I9" s="452" t="s">
        <v>278</v>
      </c>
      <c r="J9" s="450"/>
      <c r="K9" s="453" t="s">
        <v>297</v>
      </c>
      <c r="L9" s="451" t="s">
        <v>298</v>
      </c>
      <c r="M9" s="451" t="s">
        <v>299</v>
      </c>
      <c r="N9" s="451" t="s">
        <v>300</v>
      </c>
      <c r="O9" s="454" t="s">
        <v>301</v>
      </c>
      <c r="P9" s="453" t="s">
        <v>303</v>
      </c>
      <c r="Q9" s="452"/>
      <c r="R9" s="456"/>
      <c r="S9" s="549"/>
      <c r="T9" s="450"/>
      <c r="U9" s="450"/>
      <c r="V9" s="550" t="s">
        <v>450</v>
      </c>
      <c r="W9" s="550"/>
      <c r="X9" s="492" t="s">
        <v>452</v>
      </c>
      <c r="Y9" s="499"/>
      <c r="Z9" s="499"/>
      <c r="AA9" s="492" t="s">
        <v>453</v>
      </c>
      <c r="AB9" s="492" t="s">
        <v>451</v>
      </c>
      <c r="AC9" s="492"/>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450"/>
      <c r="EB9" s="450"/>
      <c r="EC9" s="450"/>
      <c r="ED9" s="450"/>
      <c r="EE9" s="450"/>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0"/>
      <c r="FD9" s="450"/>
      <c r="FE9" s="450"/>
      <c r="FF9" s="450"/>
      <c r="FG9" s="450"/>
      <c r="FH9" s="450"/>
      <c r="FI9" s="450"/>
      <c r="FJ9" s="450"/>
      <c r="FK9" s="450"/>
      <c r="FL9" s="450"/>
      <c r="FM9" s="450"/>
      <c r="FN9" s="450"/>
      <c r="FO9" s="450"/>
      <c r="FP9" s="450"/>
      <c r="FQ9" s="450"/>
      <c r="FR9" s="450"/>
      <c r="FS9" s="450"/>
      <c r="FT9" s="450"/>
      <c r="FU9" s="450"/>
      <c r="FV9" s="450"/>
      <c r="FW9" s="450"/>
      <c r="FX9" s="450"/>
      <c r="FY9" s="450"/>
      <c r="FZ9" s="450"/>
      <c r="GA9" s="450"/>
      <c r="GB9" s="450"/>
      <c r="GC9" s="450"/>
      <c r="GD9" s="450"/>
      <c r="GE9" s="450"/>
      <c r="GF9" s="450"/>
      <c r="GG9" s="450"/>
      <c r="GH9" s="450"/>
      <c r="GI9" s="450"/>
      <c r="GJ9" s="450"/>
      <c r="GK9" s="450"/>
      <c r="GL9" s="450"/>
      <c r="GM9" s="450"/>
      <c r="GN9" s="450"/>
      <c r="GO9" s="450"/>
      <c r="GP9" s="450"/>
      <c r="GQ9" s="450"/>
      <c r="GR9" s="450"/>
      <c r="GS9" s="450"/>
      <c r="GT9" s="450"/>
      <c r="GU9" s="450"/>
      <c r="GV9" s="450"/>
      <c r="GW9" s="450"/>
      <c r="GX9" s="450"/>
      <c r="GY9" s="450"/>
      <c r="GZ9" s="450"/>
      <c r="HA9" s="450"/>
      <c r="HB9" s="450"/>
      <c r="HC9" s="450"/>
      <c r="HD9" s="450"/>
      <c r="HE9" s="450"/>
      <c r="HF9" s="450"/>
      <c r="HG9" s="450"/>
      <c r="HH9" s="450"/>
      <c r="HI9" s="450"/>
      <c r="HJ9" s="450"/>
      <c r="HK9" s="450"/>
      <c r="HL9" s="450"/>
      <c r="HM9" s="450"/>
      <c r="HN9" s="450"/>
      <c r="HO9" s="450"/>
      <c r="HP9" s="450"/>
      <c r="HQ9" s="450"/>
      <c r="HR9" s="450"/>
      <c r="HS9" s="450"/>
      <c r="HT9" s="450"/>
      <c r="HU9" s="450"/>
      <c r="HV9" s="450"/>
      <c r="HW9" s="450"/>
      <c r="HX9" s="450"/>
      <c r="HY9" s="450"/>
      <c r="HZ9" s="450"/>
      <c r="IA9" s="450"/>
      <c r="IB9" s="450"/>
      <c r="IC9" s="450"/>
      <c r="ID9" s="450"/>
      <c r="IE9" s="450"/>
      <c r="IF9" s="450"/>
      <c r="IG9" s="450"/>
      <c r="IH9" s="450"/>
      <c r="II9" s="450"/>
    </row>
    <row r="10" spans="2:35" ht="15">
      <c r="B10" s="416" t="s">
        <v>18</v>
      </c>
      <c r="C10" s="14">
        <f aca="true" t="shared" si="0" ref="C10:I10">SUM(C11:C14)</f>
        <v>15940921282.48496</v>
      </c>
      <c r="D10" s="14">
        <f t="shared" si="0"/>
        <v>6568137379.98774</v>
      </c>
      <c r="E10" s="14">
        <f t="shared" si="0"/>
        <v>0</v>
      </c>
      <c r="F10" s="14">
        <f t="shared" si="0"/>
        <v>0</v>
      </c>
      <c r="G10" s="14">
        <f>SUM(G11:G14)</f>
        <v>1500000000</v>
      </c>
      <c r="H10" s="14">
        <f t="shared" si="0"/>
        <v>0</v>
      </c>
      <c r="I10" s="15">
        <f t="shared" si="0"/>
        <v>24009058662.472702</v>
      </c>
      <c r="K10" s="422">
        <f aca="true" t="shared" si="1" ref="K10:Q10">SUM(K11:K14)</f>
        <v>3156667585</v>
      </c>
      <c r="L10" s="14">
        <f t="shared" si="1"/>
        <v>3398460311.99</v>
      </c>
      <c r="M10" s="14">
        <f t="shared" si="1"/>
        <v>0</v>
      </c>
      <c r="N10" s="14">
        <f t="shared" si="1"/>
        <v>0</v>
      </c>
      <c r="O10" s="436">
        <f t="shared" si="1"/>
        <v>0</v>
      </c>
      <c r="P10" s="422">
        <f t="shared" si="1"/>
        <v>6555127896.99</v>
      </c>
      <c r="Q10" s="15">
        <f t="shared" si="1"/>
        <v>17453930765.4827</v>
      </c>
      <c r="R10" s="484">
        <f>+P10/I10</f>
        <v>0.27302727646027936</v>
      </c>
      <c r="S10" s="458"/>
      <c r="T10" s="449"/>
      <c r="V10" s="485" t="s">
        <v>18</v>
      </c>
      <c r="W10" s="486">
        <v>4882298078.75</v>
      </c>
      <c r="X10" s="493">
        <v>4145105346</v>
      </c>
      <c r="AA10" s="491">
        <f>+W10+X10</f>
        <v>9027403424.75</v>
      </c>
      <c r="AB10" s="449">
        <f>+P10</f>
        <v>6555127896.99</v>
      </c>
      <c r="AC10" s="484">
        <f>+AB10/AA10</f>
        <v>0.7261365853018288</v>
      </c>
      <c r="AI10" s="449"/>
    </row>
    <row r="11" spans="2:35" ht="15">
      <c r="B11" s="16" t="s">
        <v>19</v>
      </c>
      <c r="C11" s="137">
        <v>7794856219.25054</v>
      </c>
      <c r="D11" s="137"/>
      <c r="E11" s="137"/>
      <c r="F11" s="137"/>
      <c r="G11" s="137">
        <v>1500000000</v>
      </c>
      <c r="H11" s="137"/>
      <c r="I11" s="51">
        <f>SUM(C11:H11)</f>
        <v>9294856219.25054</v>
      </c>
      <c r="K11" s="423">
        <v>2988079775</v>
      </c>
      <c r="L11" s="137">
        <v>2535222539</v>
      </c>
      <c r="M11" s="137"/>
      <c r="N11" s="137"/>
      <c r="O11" s="437"/>
      <c r="P11" s="423">
        <f>SUM(K11:O11)</f>
        <v>5523302314</v>
      </c>
      <c r="Q11" s="51">
        <f>+I11-P11</f>
        <v>3771553905.25054</v>
      </c>
      <c r="R11" s="484">
        <f aca="true" t="shared" si="2" ref="R11:R74">+P11/I11</f>
        <v>0.5942321412740856</v>
      </c>
      <c r="S11" s="459">
        <v>-5523302314</v>
      </c>
      <c r="T11" s="449">
        <f>+P11+S11</f>
        <v>0</v>
      </c>
      <c r="V11" s="487" t="s">
        <v>19</v>
      </c>
      <c r="W11" s="488">
        <v>2088657119</v>
      </c>
      <c r="X11" s="494">
        <v>2065081200</v>
      </c>
      <c r="AA11" s="491">
        <f aca="true" t="shared" si="3" ref="AA11:AA17">+W11+X11</f>
        <v>4153738319</v>
      </c>
      <c r="AB11" s="449">
        <f aca="true" t="shared" si="4" ref="AB11:AB18">+P11</f>
        <v>5523302314</v>
      </c>
      <c r="AC11" s="484">
        <f aca="true" t="shared" si="5" ref="AC11:AC16">+AB11/AA11</f>
        <v>1.329718410217454</v>
      </c>
      <c r="AI11" s="449"/>
    </row>
    <row r="12" spans="2:35" ht="15">
      <c r="B12" s="16" t="s">
        <v>69</v>
      </c>
      <c r="C12" s="137">
        <v>587270196.8</v>
      </c>
      <c r="D12" s="137"/>
      <c r="E12" s="137"/>
      <c r="F12" s="137"/>
      <c r="G12" s="137"/>
      <c r="H12" s="137"/>
      <c r="I12" s="51">
        <f>SUM(C12:H12)</f>
        <v>587270196.8</v>
      </c>
      <c r="K12" s="423">
        <v>135493991</v>
      </c>
      <c r="L12" s="137">
        <v>36808248</v>
      </c>
      <c r="M12" s="137"/>
      <c r="N12" s="137"/>
      <c r="O12" s="437"/>
      <c r="P12" s="423">
        <f>SUM(K12:O12)</f>
        <v>172302239</v>
      </c>
      <c r="Q12" s="51">
        <f>+I12-P12</f>
        <v>414967957.79999995</v>
      </c>
      <c r="R12" s="484">
        <f t="shared" si="2"/>
        <v>0.29339516961505036</v>
      </c>
      <c r="S12" s="459">
        <v>-172302239</v>
      </c>
      <c r="T12" s="449">
        <f aca="true" t="shared" si="6" ref="T12:T17">+P12+S12</f>
        <v>0</v>
      </c>
      <c r="V12" s="487" t="s">
        <v>69</v>
      </c>
      <c r="W12" s="488">
        <v>152407672</v>
      </c>
      <c r="X12" s="494">
        <v>152338800</v>
      </c>
      <c r="AA12" s="491">
        <f t="shared" si="3"/>
        <v>304746472</v>
      </c>
      <c r="AB12" s="449">
        <f t="shared" si="4"/>
        <v>172302239</v>
      </c>
      <c r="AC12" s="484">
        <f t="shared" si="5"/>
        <v>0.5653953526326632</v>
      </c>
      <c r="AI12" s="449"/>
    </row>
    <row r="13" spans="2:35" ht="15">
      <c r="B13" s="16" t="s">
        <v>20</v>
      </c>
      <c r="C13" s="137">
        <v>447324999.99999994</v>
      </c>
      <c r="D13" s="137"/>
      <c r="E13" s="137"/>
      <c r="F13" s="137"/>
      <c r="G13" s="137"/>
      <c r="H13" s="137"/>
      <c r="I13" s="51">
        <f>SUM(C13:H13)</f>
        <v>447324999.99999994</v>
      </c>
      <c r="K13" s="423">
        <v>33093819</v>
      </c>
      <c r="L13" s="137">
        <v>58492568</v>
      </c>
      <c r="M13" s="137"/>
      <c r="N13" s="137"/>
      <c r="O13" s="437"/>
      <c r="P13" s="423">
        <f>SUM(K13:O13)</f>
        <v>91586387</v>
      </c>
      <c r="Q13" s="51">
        <f>+I13-P13</f>
        <v>355738612.99999994</v>
      </c>
      <c r="R13" s="484">
        <f t="shared" si="2"/>
        <v>0.20474238417258148</v>
      </c>
      <c r="S13" s="459">
        <v>-91586387</v>
      </c>
      <c r="T13" s="449">
        <f t="shared" si="6"/>
        <v>0</v>
      </c>
      <c r="V13" s="487" t="s">
        <v>20</v>
      </c>
      <c r="W13" s="488">
        <v>112860647</v>
      </c>
      <c r="X13" s="494">
        <v>13801800</v>
      </c>
      <c r="AA13" s="491">
        <f t="shared" si="3"/>
        <v>126662447</v>
      </c>
      <c r="AB13" s="449">
        <f t="shared" si="4"/>
        <v>91586387</v>
      </c>
      <c r="AC13" s="484">
        <f t="shared" si="5"/>
        <v>0.7230745115795845</v>
      </c>
      <c r="AI13" s="449"/>
    </row>
    <row r="14" spans="2:35" ht="15">
      <c r="B14" s="16" t="s">
        <v>53</v>
      </c>
      <c r="C14" s="137">
        <v>7111469866.434422</v>
      </c>
      <c r="D14" s="137">
        <v>6568137379.98774</v>
      </c>
      <c r="E14" s="137"/>
      <c r="F14" s="137"/>
      <c r="G14" s="137"/>
      <c r="H14" s="137"/>
      <c r="I14" s="51">
        <f>SUM(C14:H14)</f>
        <v>13679607246.422161</v>
      </c>
      <c r="K14" s="423"/>
      <c r="L14" s="137">
        <v>767936956.99</v>
      </c>
      <c r="M14" s="137"/>
      <c r="N14" s="137"/>
      <c r="O14" s="437"/>
      <c r="P14" s="423">
        <f>SUM(K14:O14)</f>
        <v>767936956.99</v>
      </c>
      <c r="Q14" s="51">
        <f>+I14-P14</f>
        <v>12911670289.432161</v>
      </c>
      <c r="R14" s="484">
        <f t="shared" si="2"/>
        <v>0.0561373541766596</v>
      </c>
      <c r="S14" s="459"/>
      <c r="T14" s="449"/>
      <c r="V14" s="487" t="s">
        <v>53</v>
      </c>
      <c r="W14" s="488">
        <v>2528372640.75</v>
      </c>
      <c r="X14" s="494">
        <v>1913883546</v>
      </c>
      <c r="AA14" s="491">
        <f t="shared" si="3"/>
        <v>4442256186.75</v>
      </c>
      <c r="AB14" s="449">
        <f t="shared" si="4"/>
        <v>767936956.99</v>
      </c>
      <c r="AC14" s="484">
        <f t="shared" si="5"/>
        <v>0.17287092970471624</v>
      </c>
      <c r="AI14" s="449"/>
    </row>
    <row r="15" spans="2:35" ht="15">
      <c r="B15" s="46" t="s">
        <v>21</v>
      </c>
      <c r="C15" s="21">
        <f aca="true" t="shared" si="7" ref="C15:I15">+SUM(C16:C17)</f>
        <v>653955316.0401263</v>
      </c>
      <c r="D15" s="21">
        <f t="shared" si="7"/>
        <v>0</v>
      </c>
      <c r="E15" s="21">
        <f t="shared" si="7"/>
        <v>0</v>
      </c>
      <c r="F15" s="21">
        <f t="shared" si="7"/>
        <v>0</v>
      </c>
      <c r="G15" s="21">
        <f>+SUM(G16:G17)</f>
        <v>771300000</v>
      </c>
      <c r="H15" s="21">
        <f t="shared" si="7"/>
        <v>0</v>
      </c>
      <c r="I15" s="22">
        <f t="shared" si="7"/>
        <v>1425255316.0401263</v>
      </c>
      <c r="K15" s="424">
        <f aca="true" t="shared" si="8" ref="K15:Q15">+SUM(K16:K17)</f>
        <v>387037519</v>
      </c>
      <c r="L15" s="21">
        <f t="shared" si="8"/>
        <v>361277723</v>
      </c>
      <c r="M15" s="21">
        <f t="shared" si="8"/>
        <v>0</v>
      </c>
      <c r="N15" s="21">
        <f t="shared" si="8"/>
        <v>0</v>
      </c>
      <c r="O15" s="438">
        <f t="shared" si="8"/>
        <v>0</v>
      </c>
      <c r="P15" s="424">
        <f t="shared" si="8"/>
        <v>748315242</v>
      </c>
      <c r="Q15" s="22">
        <f t="shared" si="8"/>
        <v>676940074.0401263</v>
      </c>
      <c r="R15" s="484">
        <f t="shared" si="2"/>
        <v>0.525039432288588</v>
      </c>
      <c r="S15" s="460"/>
      <c r="T15" s="449"/>
      <c r="V15" s="489" t="s">
        <v>21</v>
      </c>
      <c r="W15" s="490">
        <v>185621214</v>
      </c>
      <c r="X15" s="495">
        <v>163543600</v>
      </c>
      <c r="AA15" s="491">
        <f t="shared" si="3"/>
        <v>349164814</v>
      </c>
      <c r="AB15" s="449">
        <f t="shared" si="4"/>
        <v>748315242</v>
      </c>
      <c r="AC15" s="484">
        <f t="shared" si="5"/>
        <v>2.1431576493271742</v>
      </c>
      <c r="AI15" s="449"/>
    </row>
    <row r="16" spans="2:35" ht="15">
      <c r="B16" s="16" t="s">
        <v>22</v>
      </c>
      <c r="C16" s="17">
        <v>3000000</v>
      </c>
      <c r="D16" s="17"/>
      <c r="E16" s="17"/>
      <c r="F16" s="17"/>
      <c r="G16" s="17">
        <v>6300000</v>
      </c>
      <c r="H16" s="17"/>
      <c r="I16" s="51">
        <f>SUM(C16:H16)</f>
        <v>9300000</v>
      </c>
      <c r="K16" s="425">
        <v>5382229</v>
      </c>
      <c r="L16" s="17">
        <v>3022008</v>
      </c>
      <c r="M16" s="17"/>
      <c r="N16" s="17"/>
      <c r="O16" s="439"/>
      <c r="P16" s="423">
        <f>SUM(K16:O16)</f>
        <v>8404237</v>
      </c>
      <c r="Q16" s="51">
        <f>+I16-P16</f>
        <v>895763</v>
      </c>
      <c r="R16" s="484">
        <f t="shared" si="2"/>
        <v>0.9036813978494623</v>
      </c>
      <c r="S16" s="459">
        <v>-8404237</v>
      </c>
      <c r="T16" s="449">
        <f t="shared" si="6"/>
        <v>0</v>
      </c>
      <c r="V16" s="487" t="s">
        <v>22</v>
      </c>
      <c r="W16" s="488">
        <v>500000</v>
      </c>
      <c r="X16" s="494">
        <v>500000</v>
      </c>
      <c r="AA16" s="491">
        <f t="shared" si="3"/>
        <v>1000000</v>
      </c>
      <c r="AB16" s="449">
        <f t="shared" si="4"/>
        <v>8404237</v>
      </c>
      <c r="AC16" s="484">
        <f t="shared" si="5"/>
        <v>8.404237</v>
      </c>
      <c r="AI16" s="449"/>
    </row>
    <row r="17" spans="2:35" ht="15">
      <c r="B17" s="16" t="s">
        <v>23</v>
      </c>
      <c r="C17" s="137">
        <v>650955316.0401263</v>
      </c>
      <c r="D17" s="137"/>
      <c r="E17" s="137"/>
      <c r="F17" s="137"/>
      <c r="G17" s="137">
        <v>765000000</v>
      </c>
      <c r="H17" s="137"/>
      <c r="I17" s="51">
        <f>SUM(C17:H17)</f>
        <v>1415955316.0401263</v>
      </c>
      <c r="K17" s="423">
        <v>381655290</v>
      </c>
      <c r="L17" s="137">
        <v>358255715</v>
      </c>
      <c r="M17" s="137"/>
      <c r="N17" s="137"/>
      <c r="O17" s="437"/>
      <c r="P17" s="423">
        <f>SUM(K17:O17)</f>
        <v>739911005</v>
      </c>
      <c r="Q17" s="51">
        <f>+I17-P17</f>
        <v>676044311.0401263</v>
      </c>
      <c r="R17" s="484">
        <f t="shared" si="2"/>
        <v>0.522552510392236</v>
      </c>
      <c r="S17" s="459">
        <v>-739911005</v>
      </c>
      <c r="T17" s="449">
        <f t="shared" si="6"/>
        <v>0</v>
      </c>
      <c r="V17" s="487" t="s">
        <v>23</v>
      </c>
      <c r="W17" s="488">
        <v>185121214</v>
      </c>
      <c r="X17" s="494">
        <v>163043600</v>
      </c>
      <c r="AA17" s="491">
        <f t="shared" si="3"/>
        <v>348164814</v>
      </c>
      <c r="AB17" s="449">
        <f t="shared" si="4"/>
        <v>739911005</v>
      </c>
      <c r="AC17" s="484">
        <f>+AB17/AA17</f>
        <v>2.1251745588513145</v>
      </c>
      <c r="AI17" s="449"/>
    </row>
    <row r="18" spans="2:35" ht="15.75" thickBot="1">
      <c r="B18" s="46" t="s">
        <v>24</v>
      </c>
      <c r="C18" s="21">
        <f aca="true" t="shared" si="9" ref="C18:I18">SUM(C10+C15)</f>
        <v>16594876598.525087</v>
      </c>
      <c r="D18" s="21">
        <f t="shared" si="9"/>
        <v>6568137379.98774</v>
      </c>
      <c r="E18" s="21">
        <f t="shared" si="9"/>
        <v>0</v>
      </c>
      <c r="F18" s="21">
        <f t="shared" si="9"/>
        <v>0</v>
      </c>
      <c r="G18" s="21">
        <f>SUM(G10+G15)</f>
        <v>2271300000</v>
      </c>
      <c r="H18" s="21">
        <f t="shared" si="9"/>
        <v>0</v>
      </c>
      <c r="I18" s="22">
        <f t="shared" si="9"/>
        <v>25434313978.51283</v>
      </c>
      <c r="K18" s="424">
        <f aca="true" t="shared" si="10" ref="K18:Q18">SUM(K10+K15)</f>
        <v>3543705104</v>
      </c>
      <c r="L18" s="21">
        <f t="shared" si="10"/>
        <v>3759738034.99</v>
      </c>
      <c r="M18" s="21">
        <f t="shared" si="10"/>
        <v>0</v>
      </c>
      <c r="N18" s="21">
        <f t="shared" si="10"/>
        <v>0</v>
      </c>
      <c r="O18" s="438">
        <f t="shared" si="10"/>
        <v>0</v>
      </c>
      <c r="P18" s="424">
        <f t="shared" si="10"/>
        <v>7303443138.99</v>
      </c>
      <c r="Q18" s="22">
        <f t="shared" si="10"/>
        <v>18130870839.522827</v>
      </c>
      <c r="R18" s="484">
        <f t="shared" si="2"/>
        <v>0.2871492089450505</v>
      </c>
      <c r="S18" s="460"/>
      <c r="T18" s="449"/>
      <c r="V18" s="496" t="s">
        <v>24</v>
      </c>
      <c r="W18" s="497">
        <v>5067919292.75</v>
      </c>
      <c r="X18" s="498">
        <v>4308648946</v>
      </c>
      <c r="AA18" s="491">
        <f>+W18+X18</f>
        <v>9376568238.75</v>
      </c>
      <c r="AB18" s="449">
        <f t="shared" si="4"/>
        <v>7303443138.99</v>
      </c>
      <c r="AC18" s="484">
        <f>+AB18/AA18</f>
        <v>0.7789036407592581</v>
      </c>
      <c r="AI18" s="449"/>
    </row>
    <row r="19" spans="2:35" ht="15">
      <c r="B19" s="23" t="s">
        <v>25</v>
      </c>
      <c r="C19" s="21"/>
      <c r="D19" s="21"/>
      <c r="E19" s="21"/>
      <c r="F19" s="21"/>
      <c r="G19" s="21"/>
      <c r="H19" s="21"/>
      <c r="I19" s="22"/>
      <c r="K19" s="424"/>
      <c r="L19" s="21"/>
      <c r="M19" s="21"/>
      <c r="N19" s="21"/>
      <c r="O19" s="438"/>
      <c r="P19" s="424"/>
      <c r="Q19" s="22"/>
      <c r="R19" s="484" t="e">
        <f t="shared" si="2"/>
        <v>#DIV/0!</v>
      </c>
      <c r="S19" s="460"/>
      <c r="T19" s="449"/>
      <c r="AI19" s="449"/>
    </row>
    <row r="20" spans="2:35" ht="15">
      <c r="B20" s="24" t="s">
        <v>26</v>
      </c>
      <c r="C20" s="21">
        <f aca="true" t="shared" si="11" ref="C20:I20">+C21+C33</f>
        <v>2158455301</v>
      </c>
      <c r="D20" s="21">
        <f t="shared" si="11"/>
        <v>0</v>
      </c>
      <c r="E20" s="21">
        <f t="shared" si="11"/>
        <v>130997080.49842668</v>
      </c>
      <c r="F20" s="21">
        <f t="shared" si="11"/>
        <v>0</v>
      </c>
      <c r="G20" s="21">
        <f>+G21+G33</f>
        <v>0</v>
      </c>
      <c r="H20" s="21">
        <f t="shared" si="11"/>
        <v>0</v>
      </c>
      <c r="I20" s="22">
        <f t="shared" si="11"/>
        <v>2289452381.4984264</v>
      </c>
      <c r="K20" s="424">
        <f aca="true" t="shared" si="12" ref="K20:Q20">+K21+K33</f>
        <v>585884407</v>
      </c>
      <c r="L20" s="21">
        <f t="shared" si="12"/>
        <v>482630081</v>
      </c>
      <c r="M20" s="21">
        <f t="shared" si="12"/>
        <v>0</v>
      </c>
      <c r="N20" s="21">
        <f t="shared" si="12"/>
        <v>0</v>
      </c>
      <c r="O20" s="438">
        <f t="shared" si="12"/>
        <v>0</v>
      </c>
      <c r="P20" s="424">
        <f>+P21+P33</f>
        <v>1068514488</v>
      </c>
      <c r="Q20" s="22">
        <f t="shared" si="12"/>
        <v>1220937893.4984267</v>
      </c>
      <c r="R20" s="484">
        <f t="shared" si="2"/>
        <v>0.46671182009938406</v>
      </c>
      <c r="S20" s="460"/>
      <c r="T20" s="449"/>
      <c r="V20" s="4" t="s">
        <v>456</v>
      </c>
      <c r="W20" s="491">
        <f>(+W11+W12)*10%</f>
        <v>224106479.10000002</v>
      </c>
      <c r="X20" s="491">
        <f>(+X11+X12)*10%</f>
        <v>221742000</v>
      </c>
      <c r="AA20" s="491">
        <f>+W20+X20</f>
        <v>445848479.1</v>
      </c>
      <c r="AB20" s="449">
        <f>+P50</f>
        <v>569546758.7</v>
      </c>
      <c r="AC20" s="484">
        <f>+AB20/AA20</f>
        <v>1.2774446597859888</v>
      </c>
      <c r="AI20" s="449"/>
    </row>
    <row r="21" spans="2:35" ht="15">
      <c r="B21" s="25" t="s">
        <v>7</v>
      </c>
      <c r="C21" s="21">
        <f aca="true" t="shared" si="13" ref="C21:I21">SUM(C22:C32)</f>
        <v>1344580201</v>
      </c>
      <c r="D21" s="21">
        <f t="shared" si="13"/>
        <v>0</v>
      </c>
      <c r="E21" s="21">
        <f t="shared" si="13"/>
        <v>74812539.49842668</v>
      </c>
      <c r="F21" s="21">
        <f t="shared" si="13"/>
        <v>0</v>
      </c>
      <c r="G21" s="21">
        <f>SUM(G22:G32)</f>
        <v>0</v>
      </c>
      <c r="H21" s="21">
        <f t="shared" si="13"/>
        <v>0</v>
      </c>
      <c r="I21" s="22">
        <f t="shared" si="13"/>
        <v>1419392740.4984267</v>
      </c>
      <c r="K21" s="424">
        <f aca="true" t="shared" si="14" ref="K21:Q21">SUM(K22:K32)</f>
        <v>326958216</v>
      </c>
      <c r="L21" s="21">
        <f t="shared" si="14"/>
        <v>347773841</v>
      </c>
      <c r="M21" s="21">
        <f t="shared" si="14"/>
        <v>0</v>
      </c>
      <c r="N21" s="21">
        <f t="shared" si="14"/>
        <v>0</v>
      </c>
      <c r="O21" s="438">
        <f t="shared" si="14"/>
        <v>0</v>
      </c>
      <c r="P21" s="424">
        <f t="shared" si="14"/>
        <v>674732057</v>
      </c>
      <c r="Q21" s="22">
        <f t="shared" si="14"/>
        <v>744660683.4984267</v>
      </c>
      <c r="R21" s="484">
        <f t="shared" si="2"/>
        <v>0.47536670982484</v>
      </c>
      <c r="S21" s="460"/>
      <c r="T21" s="449"/>
      <c r="W21" s="491"/>
      <c r="X21" s="491"/>
      <c r="Z21" s="4" t="s">
        <v>465</v>
      </c>
      <c r="AA21" s="491"/>
      <c r="AB21" s="449"/>
      <c r="AC21" s="484"/>
      <c r="AI21" s="449"/>
    </row>
    <row r="22" spans="2:35" ht="15">
      <c r="B22" s="26" t="s">
        <v>27</v>
      </c>
      <c r="C22" s="17">
        <v>781233201</v>
      </c>
      <c r="D22" s="17"/>
      <c r="E22" s="17">
        <v>42612720</v>
      </c>
      <c r="F22" s="17"/>
      <c r="G22" s="17"/>
      <c r="H22" s="17"/>
      <c r="I22" s="51">
        <f aca="true" t="shared" si="15" ref="I22:I32">SUM(C22:H22)</f>
        <v>823845921</v>
      </c>
      <c r="K22" s="425">
        <v>191221049</v>
      </c>
      <c r="L22" s="17">
        <v>204423963</v>
      </c>
      <c r="M22" s="17"/>
      <c r="N22" s="17"/>
      <c r="O22" s="439"/>
      <c r="P22" s="423">
        <f aca="true" t="shared" si="16" ref="P22:P32">SUM(K22:O22)</f>
        <v>395645012</v>
      </c>
      <c r="Q22" s="51">
        <f aca="true" t="shared" si="17" ref="Q22:Q32">+I22-P22</f>
        <v>428200909</v>
      </c>
      <c r="R22" s="484">
        <f t="shared" si="2"/>
        <v>0.480241513509903</v>
      </c>
      <c r="S22" s="459">
        <v>1213757844</v>
      </c>
      <c r="T22" s="449">
        <f aca="true" t="shared" si="18" ref="T22:T32">+P22+P53-S22</f>
        <v>0</v>
      </c>
      <c r="V22" s="4" t="s">
        <v>463</v>
      </c>
      <c r="W22" s="491">
        <v>684595022.8522289</v>
      </c>
      <c r="X22" s="491">
        <v>529116308</v>
      </c>
      <c r="Z22" s="491">
        <v>1210455825.868824</v>
      </c>
      <c r="AA22" s="491">
        <f>+W22+X22</f>
        <v>1213711330.8522289</v>
      </c>
      <c r="AB22" s="449">
        <f>+P20</f>
        <v>1068514488</v>
      </c>
      <c r="AC22" s="484">
        <f>+AB22/Z22</f>
        <v>0.8827372838930794</v>
      </c>
      <c r="AD22" s="484"/>
      <c r="AI22" s="449"/>
    </row>
    <row r="23" spans="2:35" ht="15">
      <c r="B23" s="26" t="s">
        <v>28</v>
      </c>
      <c r="C23" s="17">
        <v>31999890</v>
      </c>
      <c r="D23" s="17"/>
      <c r="E23" s="17">
        <v>2467237</v>
      </c>
      <c r="F23" s="17"/>
      <c r="G23" s="17"/>
      <c r="H23" s="17"/>
      <c r="I23" s="51">
        <f t="shared" si="15"/>
        <v>34467127</v>
      </c>
      <c r="K23" s="425">
        <v>9553600</v>
      </c>
      <c r="L23" s="17">
        <v>8705800</v>
      </c>
      <c r="M23" s="17"/>
      <c r="N23" s="17"/>
      <c r="O23" s="439"/>
      <c r="P23" s="423">
        <f t="shared" si="16"/>
        <v>18259400</v>
      </c>
      <c r="Q23" s="51">
        <f t="shared" si="17"/>
        <v>16207727</v>
      </c>
      <c r="R23" s="484">
        <f t="shared" si="2"/>
        <v>0.5297627504607506</v>
      </c>
      <c r="S23" s="459">
        <v>52583350</v>
      </c>
      <c r="T23" s="449">
        <f t="shared" si="18"/>
        <v>0</v>
      </c>
      <c r="V23" s="4" t="s">
        <v>464</v>
      </c>
      <c r="W23" s="491">
        <v>4159217790.795223</v>
      </c>
      <c r="X23" s="491">
        <v>3557790638</v>
      </c>
      <c r="Z23" s="491">
        <v>7628015260.6618185</v>
      </c>
      <c r="AA23" s="491">
        <f>+W23+X23</f>
        <v>7717008428.795223</v>
      </c>
      <c r="AB23" s="449">
        <f>+P51</f>
        <v>4701852695.15</v>
      </c>
      <c r="AC23" s="484">
        <f>+AB23/Z23</f>
        <v>0.6163926702398941</v>
      </c>
      <c r="AD23" s="484"/>
      <c r="AI23" s="449"/>
    </row>
    <row r="24" spans="2:35" ht="15">
      <c r="B24" s="40" t="s">
        <v>49</v>
      </c>
      <c r="C24" s="28">
        <v>3086664</v>
      </c>
      <c r="D24" s="28"/>
      <c r="E24" s="17">
        <v>278516.4984266665</v>
      </c>
      <c r="F24" s="28"/>
      <c r="G24" s="28"/>
      <c r="H24" s="28"/>
      <c r="I24" s="51">
        <f t="shared" si="15"/>
        <v>3365180.4984266665</v>
      </c>
      <c r="K24" s="426">
        <v>726464</v>
      </c>
      <c r="L24" s="28">
        <v>810828</v>
      </c>
      <c r="M24" s="28"/>
      <c r="N24" s="28"/>
      <c r="O24" s="440"/>
      <c r="P24" s="423">
        <f t="shared" si="16"/>
        <v>1537292</v>
      </c>
      <c r="Q24" s="51">
        <f t="shared" si="17"/>
        <v>1827888.4984266665</v>
      </c>
      <c r="R24" s="484">
        <f t="shared" si="2"/>
        <v>0.45682304432666687</v>
      </c>
      <c r="S24" s="459">
        <v>3093331</v>
      </c>
      <c r="T24" s="449">
        <f t="shared" si="18"/>
        <v>0</v>
      </c>
      <c r="AA24" s="491"/>
      <c r="AB24" s="449"/>
      <c r="AI24" s="449"/>
    </row>
    <row r="25" spans="2:35" ht="15">
      <c r="B25" s="26" t="s">
        <v>29</v>
      </c>
      <c r="C25" s="17">
        <v>63999783</v>
      </c>
      <c r="D25" s="17"/>
      <c r="E25" s="17">
        <v>4934474</v>
      </c>
      <c r="F25" s="17"/>
      <c r="G25" s="17"/>
      <c r="H25" s="17"/>
      <c r="I25" s="51">
        <f t="shared" si="15"/>
        <v>68934257</v>
      </c>
      <c r="K25" s="425">
        <v>16046784</v>
      </c>
      <c r="L25" s="17">
        <v>17479264</v>
      </c>
      <c r="M25" s="17"/>
      <c r="N25" s="17"/>
      <c r="O25" s="439"/>
      <c r="P25" s="423">
        <f t="shared" si="16"/>
        <v>33526048</v>
      </c>
      <c r="Q25" s="51">
        <f t="shared" si="17"/>
        <v>35408209</v>
      </c>
      <c r="R25" s="484">
        <f t="shared" si="2"/>
        <v>0.48634814472577836</v>
      </c>
      <c r="S25" s="459">
        <v>101979138</v>
      </c>
      <c r="T25" s="449">
        <f t="shared" si="18"/>
        <v>0</v>
      </c>
      <c r="AA25" s="449">
        <f>+AA20+Z22+Z23</f>
        <v>9284319565.630642</v>
      </c>
      <c r="AB25" s="449">
        <f>+AB20+AB22+AB23</f>
        <v>6339913941.849999</v>
      </c>
      <c r="AC25" s="484">
        <f>+AB25/AA25</f>
        <v>0.6828625293467435</v>
      </c>
      <c r="AI25" s="449"/>
    </row>
    <row r="26" spans="2:35" ht="15">
      <c r="B26" s="26" t="s">
        <v>8</v>
      </c>
      <c r="C26" s="17">
        <v>133999880</v>
      </c>
      <c r="D26" s="17"/>
      <c r="E26" s="17">
        <v>4883518</v>
      </c>
      <c r="F26" s="17"/>
      <c r="G26" s="17"/>
      <c r="H26" s="17"/>
      <c r="I26" s="51">
        <f t="shared" si="15"/>
        <v>138883398</v>
      </c>
      <c r="K26" s="425">
        <v>28304849</v>
      </c>
      <c r="L26" s="17">
        <v>30669000</v>
      </c>
      <c r="M26" s="17"/>
      <c r="N26" s="17"/>
      <c r="O26" s="439"/>
      <c r="P26" s="423">
        <f t="shared" si="16"/>
        <v>58973849</v>
      </c>
      <c r="Q26" s="51">
        <f t="shared" si="17"/>
        <v>79909549</v>
      </c>
      <c r="R26" s="484">
        <f t="shared" si="2"/>
        <v>0.4246285002329796</v>
      </c>
      <c r="S26" s="459">
        <v>333694015</v>
      </c>
      <c r="T26" s="449">
        <f t="shared" si="18"/>
        <v>0</v>
      </c>
      <c r="W26" s="449"/>
      <c r="X26" s="449"/>
      <c r="AA26" s="449"/>
      <c r="AB26" s="449"/>
      <c r="AC26" s="484"/>
      <c r="AI26" s="449"/>
    </row>
    <row r="27" spans="2:35" ht="15">
      <c r="B27" s="26" t="s">
        <v>30</v>
      </c>
      <c r="C27" s="17">
        <v>3270000.0000000005</v>
      </c>
      <c r="D27" s="17"/>
      <c r="E27" s="17">
        <v>123599.99999999953</v>
      </c>
      <c r="F27" s="17"/>
      <c r="G27" s="17"/>
      <c r="H27" s="17"/>
      <c r="I27" s="51">
        <f t="shared" si="15"/>
        <v>3393600</v>
      </c>
      <c r="K27" s="425">
        <v>3223705</v>
      </c>
      <c r="L27" s="17">
        <v>0</v>
      </c>
      <c r="M27" s="17"/>
      <c r="N27" s="17"/>
      <c r="O27" s="439"/>
      <c r="P27" s="423">
        <f t="shared" si="16"/>
        <v>3223705</v>
      </c>
      <c r="Q27" s="51">
        <f t="shared" si="17"/>
        <v>169895</v>
      </c>
      <c r="R27" s="484">
        <f t="shared" si="2"/>
        <v>0.9499366454502594</v>
      </c>
      <c r="S27" s="459">
        <v>6459544</v>
      </c>
      <c r="T27" s="449">
        <f t="shared" si="18"/>
        <v>0</v>
      </c>
      <c r="AA27" s="449">
        <f>+AA18-AA25</f>
        <v>92248673.11935806</v>
      </c>
      <c r="AB27" s="449">
        <f>+AB18-AB25</f>
        <v>963529197.1400003</v>
      </c>
      <c r="AC27" s="484">
        <f>+AB27/AA27</f>
        <v>10.44491117930028</v>
      </c>
      <c r="AI27" s="449"/>
    </row>
    <row r="28" spans="2:35" ht="15">
      <c r="B28" s="26" t="s">
        <v>31</v>
      </c>
      <c r="C28" s="17">
        <v>63999783</v>
      </c>
      <c r="D28" s="17"/>
      <c r="E28" s="17">
        <v>4934474</v>
      </c>
      <c r="F28" s="17"/>
      <c r="G28" s="17"/>
      <c r="H28" s="17"/>
      <c r="I28" s="51">
        <f t="shared" si="15"/>
        <v>68934257</v>
      </c>
      <c r="K28" s="425">
        <v>16012728</v>
      </c>
      <c r="L28" s="17">
        <v>17479170</v>
      </c>
      <c r="M28" s="17"/>
      <c r="N28" s="17"/>
      <c r="O28" s="439"/>
      <c r="P28" s="423">
        <f t="shared" si="16"/>
        <v>33491898</v>
      </c>
      <c r="Q28" s="51">
        <f t="shared" si="17"/>
        <v>35442359</v>
      </c>
      <c r="R28" s="484">
        <f t="shared" si="2"/>
        <v>0.4858527451742898</v>
      </c>
      <c r="S28" s="459">
        <v>101687856</v>
      </c>
      <c r="T28" s="449">
        <f t="shared" si="18"/>
        <v>0</v>
      </c>
      <c r="AB28" s="449"/>
      <c r="AC28" s="484"/>
      <c r="AI28" s="449"/>
    </row>
    <row r="29" spans="2:35" ht="15">
      <c r="B29" s="26" t="s">
        <v>32</v>
      </c>
      <c r="C29" s="17">
        <v>7680000</v>
      </c>
      <c r="D29" s="17"/>
      <c r="E29" s="17">
        <v>596000</v>
      </c>
      <c r="F29" s="17"/>
      <c r="G29" s="17"/>
      <c r="H29" s="17"/>
      <c r="I29" s="51">
        <f t="shared" si="15"/>
        <v>8276000</v>
      </c>
      <c r="K29" s="425">
        <v>443422</v>
      </c>
      <c r="L29" s="17">
        <v>1486369</v>
      </c>
      <c r="M29" s="17"/>
      <c r="N29" s="17"/>
      <c r="O29" s="439"/>
      <c r="P29" s="423">
        <f t="shared" si="16"/>
        <v>1929791</v>
      </c>
      <c r="Q29" s="51">
        <f t="shared" si="17"/>
        <v>6346209</v>
      </c>
      <c r="R29" s="484">
        <f t="shared" si="2"/>
        <v>0.2331791928467859</v>
      </c>
      <c r="S29" s="459">
        <v>5586211</v>
      </c>
      <c r="T29" s="449">
        <f t="shared" si="18"/>
        <v>0</v>
      </c>
      <c r="AA29" s="449">
        <f>+AA25+AA27</f>
        <v>9376568238.75</v>
      </c>
      <c r="AB29" s="449">
        <f>+AB25+AB27</f>
        <v>7303443138.99</v>
      </c>
      <c r="AC29" s="484">
        <f>+AB29/AA29</f>
        <v>0.7789036407592581</v>
      </c>
      <c r="AI29" s="449"/>
    </row>
    <row r="30" spans="2:35" ht="15">
      <c r="B30" s="26" t="s">
        <v>33</v>
      </c>
      <c r="C30" s="17">
        <v>182116000</v>
      </c>
      <c r="D30" s="17"/>
      <c r="E30" s="17">
        <v>9925000</v>
      </c>
      <c r="F30" s="17"/>
      <c r="G30" s="17"/>
      <c r="H30" s="17"/>
      <c r="I30" s="51">
        <f t="shared" si="15"/>
        <v>192041000</v>
      </c>
      <c r="K30" s="425">
        <v>44193715</v>
      </c>
      <c r="L30" s="17">
        <v>47980247</v>
      </c>
      <c r="M30" s="17"/>
      <c r="N30" s="17"/>
      <c r="O30" s="439"/>
      <c r="P30" s="423">
        <f t="shared" si="16"/>
        <v>92173962</v>
      </c>
      <c r="Q30" s="51">
        <f t="shared" si="17"/>
        <v>99867038</v>
      </c>
      <c r="R30" s="484">
        <f t="shared" si="2"/>
        <v>0.47997022510818005</v>
      </c>
      <c r="S30" s="459">
        <v>286778939</v>
      </c>
      <c r="T30" s="449">
        <f t="shared" si="18"/>
        <v>0</v>
      </c>
      <c r="AA30" s="449">
        <f>+AA18-AA29</f>
        <v>0</v>
      </c>
      <c r="AB30" s="449">
        <f>+AB18-AB29</f>
        <v>0</v>
      </c>
      <c r="AC30" s="484"/>
      <c r="AI30" s="449"/>
    </row>
    <row r="31" spans="2:35" ht="15">
      <c r="B31" s="26" t="s">
        <v>34</v>
      </c>
      <c r="C31" s="17">
        <v>32529000</v>
      </c>
      <c r="D31" s="17"/>
      <c r="E31" s="17">
        <v>1803000</v>
      </c>
      <c r="F31" s="17"/>
      <c r="G31" s="17"/>
      <c r="H31" s="17"/>
      <c r="I31" s="51">
        <f t="shared" si="15"/>
        <v>34332000</v>
      </c>
      <c r="K31" s="425">
        <v>7657500</v>
      </c>
      <c r="L31" s="17">
        <v>8327300</v>
      </c>
      <c r="M31" s="17"/>
      <c r="N31" s="17"/>
      <c r="O31" s="439"/>
      <c r="P31" s="423">
        <f t="shared" si="16"/>
        <v>15984800</v>
      </c>
      <c r="Q31" s="51">
        <f t="shared" si="17"/>
        <v>18347200</v>
      </c>
      <c r="R31" s="484">
        <f t="shared" si="2"/>
        <v>0.46559478037982055</v>
      </c>
      <c r="S31" s="459">
        <v>48714300</v>
      </c>
      <c r="T31" s="449">
        <f t="shared" si="18"/>
        <v>0</v>
      </c>
      <c r="AA31" s="491"/>
      <c r="AI31" s="449"/>
    </row>
    <row r="32" spans="2:35" ht="15">
      <c r="B32" s="26" t="s">
        <v>35</v>
      </c>
      <c r="C32" s="17">
        <v>40666000</v>
      </c>
      <c r="D32" s="17"/>
      <c r="E32" s="17">
        <v>2254000</v>
      </c>
      <c r="F32" s="17"/>
      <c r="G32" s="17"/>
      <c r="H32" s="17"/>
      <c r="I32" s="51">
        <f t="shared" si="15"/>
        <v>42920000</v>
      </c>
      <c r="K32" s="425">
        <v>9574400</v>
      </c>
      <c r="L32" s="17">
        <v>10411900</v>
      </c>
      <c r="M32" s="17"/>
      <c r="N32" s="17"/>
      <c r="O32" s="439"/>
      <c r="P32" s="423">
        <f t="shared" si="16"/>
        <v>19986300</v>
      </c>
      <c r="Q32" s="51">
        <f t="shared" si="17"/>
        <v>22933700</v>
      </c>
      <c r="R32" s="484">
        <f t="shared" si="2"/>
        <v>0.4656640260950606</v>
      </c>
      <c r="S32" s="459">
        <v>60906100</v>
      </c>
      <c r="T32" s="449">
        <f t="shared" si="18"/>
        <v>0</v>
      </c>
      <c r="AA32" s="491"/>
      <c r="AI32" s="449"/>
    </row>
    <row r="33" spans="2:35" ht="15">
      <c r="B33" s="25" t="s">
        <v>9</v>
      </c>
      <c r="C33" s="29">
        <f aca="true" t="shared" si="19" ref="C33:I33">SUM(C34:C48)</f>
        <v>813875100</v>
      </c>
      <c r="D33" s="29">
        <f t="shared" si="19"/>
        <v>0</v>
      </c>
      <c r="E33" s="29">
        <f t="shared" si="19"/>
        <v>56184541</v>
      </c>
      <c r="F33" s="29">
        <f t="shared" si="19"/>
        <v>0</v>
      </c>
      <c r="G33" s="29">
        <f>SUM(G34:G48)</f>
        <v>0</v>
      </c>
      <c r="H33" s="29">
        <f t="shared" si="19"/>
        <v>0</v>
      </c>
      <c r="I33" s="38">
        <f t="shared" si="19"/>
        <v>870059641</v>
      </c>
      <c r="K33" s="427">
        <f aca="true" t="shared" si="20" ref="K33:Q33">SUM(K34:K48)</f>
        <v>258926191</v>
      </c>
      <c r="L33" s="29">
        <f t="shared" si="20"/>
        <v>134856240</v>
      </c>
      <c r="M33" s="29">
        <f t="shared" si="20"/>
        <v>0</v>
      </c>
      <c r="N33" s="29">
        <f t="shared" si="20"/>
        <v>0</v>
      </c>
      <c r="O33" s="441">
        <f t="shared" si="20"/>
        <v>0</v>
      </c>
      <c r="P33" s="427">
        <f t="shared" si="20"/>
        <v>393782431</v>
      </c>
      <c r="Q33" s="38">
        <f t="shared" si="20"/>
        <v>476277210</v>
      </c>
      <c r="R33" s="484">
        <f t="shared" si="2"/>
        <v>0.4525924573945385</v>
      </c>
      <c r="S33" s="461"/>
      <c r="T33" s="449"/>
      <c r="AI33" s="449"/>
    </row>
    <row r="34" spans="2:35" ht="15">
      <c r="B34" s="26" t="s">
        <v>125</v>
      </c>
      <c r="C34" s="28">
        <v>169310000</v>
      </c>
      <c r="D34" s="28"/>
      <c r="E34" s="28">
        <v>30000000</v>
      </c>
      <c r="F34" s="28"/>
      <c r="G34" s="28"/>
      <c r="H34" s="28"/>
      <c r="I34" s="51">
        <f aca="true" t="shared" si="21" ref="I34:I48">SUM(C34:H34)</f>
        <v>199310000</v>
      </c>
      <c r="K34" s="426">
        <v>107742062</v>
      </c>
      <c r="L34" s="28">
        <v>25630881</v>
      </c>
      <c r="M34" s="28"/>
      <c r="N34" s="28"/>
      <c r="O34" s="440"/>
      <c r="P34" s="423">
        <f aca="true" t="shared" si="22" ref="P34:P47">SUM(K34:O34)</f>
        <v>133372943</v>
      </c>
      <c r="Q34" s="51">
        <f aca="true" t="shared" si="23" ref="Q34:Q48">+I34-P34</f>
        <v>65937057</v>
      </c>
      <c r="R34" s="484">
        <f t="shared" si="2"/>
        <v>0.6691733631027044</v>
      </c>
      <c r="S34" s="459">
        <v>92651190</v>
      </c>
      <c r="T34" s="449">
        <f>+P34+P65-S34</f>
        <v>196688999</v>
      </c>
      <c r="AB34" s="4">
        <v>4717953340</v>
      </c>
      <c r="AI34" s="449"/>
    </row>
    <row r="35" spans="2:35" ht="15">
      <c r="B35" s="26" t="s">
        <v>36</v>
      </c>
      <c r="C35" s="28">
        <v>0</v>
      </c>
      <c r="D35" s="28"/>
      <c r="E35" s="28"/>
      <c r="F35" s="28"/>
      <c r="G35" s="28"/>
      <c r="H35" s="28"/>
      <c r="I35" s="51">
        <f t="shared" si="21"/>
        <v>0</v>
      </c>
      <c r="K35" s="426">
        <v>0</v>
      </c>
      <c r="L35" s="28">
        <v>0</v>
      </c>
      <c r="M35" s="28"/>
      <c r="N35" s="28"/>
      <c r="O35" s="440"/>
      <c r="P35" s="423">
        <f t="shared" si="22"/>
        <v>0</v>
      </c>
      <c r="Q35" s="51">
        <f t="shared" si="23"/>
        <v>0</v>
      </c>
      <c r="R35" s="484" t="e">
        <f t="shared" si="2"/>
        <v>#DIV/0!</v>
      </c>
      <c r="S35" s="459"/>
      <c r="T35" s="449"/>
      <c r="AB35" s="449">
        <f>+AB34-AB23</f>
        <v>16100644.850000381</v>
      </c>
      <c r="AI35" s="449"/>
    </row>
    <row r="36" spans="2:35" ht="15">
      <c r="B36" s="26" t="s">
        <v>37</v>
      </c>
      <c r="C36" s="28">
        <v>20889704</v>
      </c>
      <c r="D36" s="28"/>
      <c r="E36" s="28">
        <v>878611</v>
      </c>
      <c r="F36" s="28">
        <v>1300000</v>
      </c>
      <c r="G36" s="28"/>
      <c r="H36" s="28"/>
      <c r="I36" s="51">
        <f t="shared" si="21"/>
        <v>23068315</v>
      </c>
      <c r="K36" s="426">
        <v>4888947</v>
      </c>
      <c r="L36" s="28">
        <v>4465321</v>
      </c>
      <c r="M36" s="28"/>
      <c r="N36" s="28"/>
      <c r="O36" s="440"/>
      <c r="P36" s="423">
        <f t="shared" si="22"/>
        <v>9354268</v>
      </c>
      <c r="Q36" s="51">
        <f t="shared" si="23"/>
        <v>13714047</v>
      </c>
      <c r="R36" s="484">
        <f t="shared" si="2"/>
        <v>0.40550287266321794</v>
      </c>
      <c r="S36" s="459">
        <v>23872346</v>
      </c>
      <c r="T36" s="449">
        <f aca="true" t="shared" si="24" ref="T36:T47">+P36+P68-S36</f>
        <v>0</v>
      </c>
      <c r="AI36" s="449"/>
    </row>
    <row r="37" spans="2:35" ht="15">
      <c r="B37" s="26" t="s">
        <v>3</v>
      </c>
      <c r="C37" s="28">
        <v>9364536</v>
      </c>
      <c r="D37" s="28"/>
      <c r="E37" s="28">
        <v>4000000</v>
      </c>
      <c r="F37" s="28"/>
      <c r="G37" s="28"/>
      <c r="H37" s="28"/>
      <c r="I37" s="51">
        <f t="shared" si="21"/>
        <v>13364536</v>
      </c>
      <c r="K37" s="426">
        <v>2341134</v>
      </c>
      <c r="L37" s="28">
        <v>2341134</v>
      </c>
      <c r="M37" s="28"/>
      <c r="N37" s="28"/>
      <c r="O37" s="440"/>
      <c r="P37" s="423">
        <f t="shared" si="22"/>
        <v>4682268</v>
      </c>
      <c r="Q37" s="51">
        <f t="shared" si="23"/>
        <v>8682268</v>
      </c>
      <c r="R37" s="484">
        <f t="shared" si="2"/>
        <v>0.35035021043753406</v>
      </c>
      <c r="S37" s="459">
        <v>6192313</v>
      </c>
      <c r="T37" s="449">
        <f t="shared" si="24"/>
        <v>0</v>
      </c>
      <c r="AI37" s="449"/>
    </row>
    <row r="38" spans="2:35" ht="15">
      <c r="B38" s="26" t="s">
        <v>4</v>
      </c>
      <c r="C38" s="28">
        <v>287971406</v>
      </c>
      <c r="D38" s="28"/>
      <c r="E38" s="28">
        <v>15781772</v>
      </c>
      <c r="F38" s="17">
        <f>-933000-1300000</f>
        <v>-2233000</v>
      </c>
      <c r="G38" s="28"/>
      <c r="H38" s="28"/>
      <c r="I38" s="51">
        <f t="shared" si="21"/>
        <v>301520178</v>
      </c>
      <c r="K38" s="426">
        <v>39660869</v>
      </c>
      <c r="L38" s="28">
        <v>59700432</v>
      </c>
      <c r="M38" s="28"/>
      <c r="N38" s="28"/>
      <c r="O38" s="440"/>
      <c r="P38" s="423">
        <f t="shared" si="22"/>
        <v>99361301</v>
      </c>
      <c r="Q38" s="51">
        <f t="shared" si="23"/>
        <v>202158877</v>
      </c>
      <c r="R38" s="484">
        <f t="shared" si="2"/>
        <v>0.32953449967782916</v>
      </c>
      <c r="S38" s="459">
        <v>280780560</v>
      </c>
      <c r="T38" s="449">
        <f t="shared" si="24"/>
        <v>2222</v>
      </c>
      <c r="U38" s="4">
        <v>1</v>
      </c>
      <c r="AI38" s="449"/>
    </row>
    <row r="39" spans="2:35" ht="15">
      <c r="B39" s="26" t="s">
        <v>5</v>
      </c>
      <c r="C39" s="28">
        <v>54469348</v>
      </c>
      <c r="D39" s="28"/>
      <c r="E39" s="28">
        <v>612619</v>
      </c>
      <c r="F39" s="17">
        <v>933000</v>
      </c>
      <c r="G39" s="28"/>
      <c r="H39" s="28"/>
      <c r="I39" s="51">
        <f t="shared" si="21"/>
        <v>56014967</v>
      </c>
      <c r="K39" s="426">
        <v>30704616</v>
      </c>
      <c r="L39" s="28">
        <v>933000</v>
      </c>
      <c r="M39" s="28"/>
      <c r="N39" s="28"/>
      <c r="O39" s="440"/>
      <c r="P39" s="423">
        <f t="shared" si="22"/>
        <v>31637616</v>
      </c>
      <c r="Q39" s="51">
        <f t="shared" si="23"/>
        <v>24377351</v>
      </c>
      <c r="R39" s="484">
        <f t="shared" si="2"/>
        <v>0.564806473955434</v>
      </c>
      <c r="S39" s="459">
        <v>500037345</v>
      </c>
      <c r="T39" s="449">
        <f t="shared" si="24"/>
        <v>3956678</v>
      </c>
      <c r="U39" s="4">
        <v>1</v>
      </c>
      <c r="AI39" s="449"/>
    </row>
    <row r="40" spans="2:35" ht="15">
      <c r="B40" s="26" t="s">
        <v>38</v>
      </c>
      <c r="C40" s="28">
        <v>0</v>
      </c>
      <c r="D40" s="28"/>
      <c r="E40" s="28"/>
      <c r="F40" s="28"/>
      <c r="G40" s="28"/>
      <c r="H40" s="28"/>
      <c r="I40" s="51">
        <f t="shared" si="21"/>
        <v>0</v>
      </c>
      <c r="K40" s="426">
        <v>0</v>
      </c>
      <c r="L40" s="28">
        <v>0</v>
      </c>
      <c r="M40" s="28"/>
      <c r="N40" s="28"/>
      <c r="O40" s="440"/>
      <c r="P40" s="423">
        <f t="shared" si="22"/>
        <v>0</v>
      </c>
      <c r="Q40" s="51">
        <f t="shared" si="23"/>
        <v>0</v>
      </c>
      <c r="R40" s="484" t="e">
        <f t="shared" si="2"/>
        <v>#DIV/0!</v>
      </c>
      <c r="S40" s="459">
        <v>8073912</v>
      </c>
      <c r="T40" s="449">
        <f t="shared" si="24"/>
        <v>0</v>
      </c>
      <c r="AI40" s="449"/>
    </row>
    <row r="41" spans="2:35" ht="15">
      <c r="B41" s="26" t="s">
        <v>6</v>
      </c>
      <c r="C41" s="28">
        <v>20084584</v>
      </c>
      <c r="D41" s="28"/>
      <c r="E41" s="28">
        <v>496462</v>
      </c>
      <c r="F41" s="28"/>
      <c r="G41" s="28"/>
      <c r="H41" s="28"/>
      <c r="I41" s="51">
        <f t="shared" si="21"/>
        <v>20581046</v>
      </c>
      <c r="K41" s="426">
        <v>10580123</v>
      </c>
      <c r="L41" s="28">
        <v>3904499</v>
      </c>
      <c r="M41" s="28"/>
      <c r="N41" s="28"/>
      <c r="O41" s="440"/>
      <c r="P41" s="423">
        <f t="shared" si="22"/>
        <v>14484622</v>
      </c>
      <c r="Q41" s="51">
        <f t="shared" si="23"/>
        <v>6096424</v>
      </c>
      <c r="R41" s="484">
        <f t="shared" si="2"/>
        <v>0.7037845403970235</v>
      </c>
      <c r="S41" s="459">
        <v>88879564</v>
      </c>
      <c r="T41" s="449">
        <f t="shared" si="24"/>
        <v>-11839068</v>
      </c>
      <c r="AI41" s="449"/>
    </row>
    <row r="42" spans="2:35" ht="15">
      <c r="B42" s="26" t="s">
        <v>89</v>
      </c>
      <c r="C42" s="28">
        <v>42047283</v>
      </c>
      <c r="D42" s="28"/>
      <c r="E42" s="28">
        <v>228569</v>
      </c>
      <c r="F42" s="28"/>
      <c r="G42" s="28"/>
      <c r="H42" s="28"/>
      <c r="I42" s="51">
        <f t="shared" si="21"/>
        <v>42275852</v>
      </c>
      <c r="K42" s="426">
        <v>17261567</v>
      </c>
      <c r="L42" s="28">
        <v>8125</v>
      </c>
      <c r="M42" s="28"/>
      <c r="N42" s="28"/>
      <c r="O42" s="440"/>
      <c r="P42" s="423">
        <f t="shared" si="22"/>
        <v>17269692</v>
      </c>
      <c r="Q42" s="51">
        <f t="shared" si="23"/>
        <v>25006160</v>
      </c>
      <c r="R42" s="484">
        <f t="shared" si="2"/>
        <v>0.4085001527586008</v>
      </c>
      <c r="S42" s="459">
        <v>22349354</v>
      </c>
      <c r="T42" s="449">
        <f t="shared" si="24"/>
        <v>-196350.0099999979</v>
      </c>
      <c r="AI42" s="449"/>
    </row>
    <row r="43" spans="2:35" ht="15">
      <c r="B43" s="26" t="s">
        <v>39</v>
      </c>
      <c r="C43" s="28">
        <v>4238614</v>
      </c>
      <c r="D43" s="28"/>
      <c r="E43" s="28">
        <v>160211</v>
      </c>
      <c r="F43" s="28"/>
      <c r="G43" s="28"/>
      <c r="H43" s="28"/>
      <c r="I43" s="51">
        <f t="shared" si="21"/>
        <v>4398825</v>
      </c>
      <c r="K43" s="426">
        <v>760644</v>
      </c>
      <c r="L43" s="28">
        <v>276788</v>
      </c>
      <c r="M43" s="28"/>
      <c r="N43" s="28"/>
      <c r="O43" s="440"/>
      <c r="P43" s="423">
        <f t="shared" si="22"/>
        <v>1037432</v>
      </c>
      <c r="Q43" s="51">
        <f t="shared" si="23"/>
        <v>3361393</v>
      </c>
      <c r="R43" s="484">
        <f t="shared" si="2"/>
        <v>0.23584298079600802</v>
      </c>
      <c r="S43" s="459">
        <v>23514847</v>
      </c>
      <c r="T43" s="449">
        <f t="shared" si="24"/>
        <v>-1100000</v>
      </c>
      <c r="AI43" s="449"/>
    </row>
    <row r="44" spans="2:35" ht="15">
      <c r="B44" s="26" t="s">
        <v>40</v>
      </c>
      <c r="C44" s="28">
        <v>64350000</v>
      </c>
      <c r="D44" s="28"/>
      <c r="E44" s="28"/>
      <c r="F44" s="28"/>
      <c r="G44" s="28"/>
      <c r="H44" s="28"/>
      <c r="I44" s="51">
        <f t="shared" si="21"/>
        <v>64350000</v>
      </c>
      <c r="K44" s="426">
        <v>8737275</v>
      </c>
      <c r="L44" s="28">
        <v>19561406</v>
      </c>
      <c r="M44" s="28"/>
      <c r="N44" s="28"/>
      <c r="O44" s="440"/>
      <c r="P44" s="423">
        <f t="shared" si="22"/>
        <v>28298681</v>
      </c>
      <c r="Q44" s="51">
        <f t="shared" si="23"/>
        <v>36051319</v>
      </c>
      <c r="R44" s="484">
        <f t="shared" si="2"/>
        <v>0.4397619425019425</v>
      </c>
      <c r="S44" s="459">
        <v>28298681</v>
      </c>
      <c r="T44" s="449">
        <f t="shared" si="24"/>
        <v>0</v>
      </c>
      <c r="AI44" s="449"/>
    </row>
    <row r="45" spans="2:35" ht="15">
      <c r="B45" s="26" t="s">
        <v>41</v>
      </c>
      <c r="C45" s="28">
        <v>42620336</v>
      </c>
      <c r="D45" s="28"/>
      <c r="E45" s="28"/>
      <c r="F45" s="28"/>
      <c r="G45" s="28"/>
      <c r="H45" s="28"/>
      <c r="I45" s="51">
        <f t="shared" si="21"/>
        <v>42620336</v>
      </c>
      <c r="K45" s="426">
        <v>10655084</v>
      </c>
      <c r="L45" s="28">
        <v>10655084</v>
      </c>
      <c r="M45" s="28"/>
      <c r="N45" s="28"/>
      <c r="O45" s="440"/>
      <c r="P45" s="423">
        <f t="shared" si="22"/>
        <v>21310168</v>
      </c>
      <c r="Q45" s="51">
        <f t="shared" si="23"/>
        <v>21310168</v>
      </c>
      <c r="R45" s="484">
        <f t="shared" si="2"/>
        <v>0.5</v>
      </c>
      <c r="S45" s="459">
        <v>34884562</v>
      </c>
      <c r="T45" s="449">
        <f t="shared" si="24"/>
        <v>0</v>
      </c>
      <c r="AI45" s="449"/>
    </row>
    <row r="46" spans="2:35" ht="15">
      <c r="B46" s="26" t="s">
        <v>10</v>
      </c>
      <c r="C46" s="28">
        <v>35000000</v>
      </c>
      <c r="D46" s="28"/>
      <c r="E46" s="28"/>
      <c r="F46" s="28"/>
      <c r="G46" s="28"/>
      <c r="H46" s="28"/>
      <c r="I46" s="51">
        <f>SUM(C46:H46)</f>
        <v>35000000</v>
      </c>
      <c r="K46" s="426">
        <v>0</v>
      </c>
      <c r="L46" s="28">
        <v>0</v>
      </c>
      <c r="M46" s="28"/>
      <c r="N46" s="28"/>
      <c r="O46" s="440"/>
      <c r="P46" s="423">
        <f>SUM(K46:O46)</f>
        <v>0</v>
      </c>
      <c r="Q46" s="51">
        <f t="shared" si="23"/>
        <v>35000000</v>
      </c>
      <c r="R46" s="484">
        <f t="shared" si="2"/>
        <v>0</v>
      </c>
      <c r="S46" s="459"/>
      <c r="T46" s="449">
        <f t="shared" si="24"/>
        <v>0</v>
      </c>
      <c r="AI46" s="449"/>
    </row>
    <row r="47" spans="2:35" ht="15">
      <c r="B47" s="152" t="str">
        <f>+'[3]ACUERDO 24 SOLICITUD 2020'!B73</f>
        <v>Seguros, impuestos y gastos legales</v>
      </c>
      <c r="C47" s="28">
        <v>2531424</v>
      </c>
      <c r="D47" s="28"/>
      <c r="E47" s="28">
        <v>3000000</v>
      </c>
      <c r="F47" s="28"/>
      <c r="G47" s="28"/>
      <c r="H47" s="28"/>
      <c r="I47" s="51">
        <f t="shared" si="21"/>
        <v>5531424</v>
      </c>
      <c r="K47" s="426">
        <v>550800</v>
      </c>
      <c r="L47" s="28">
        <v>1214790</v>
      </c>
      <c r="M47" s="28"/>
      <c r="N47" s="28"/>
      <c r="O47" s="440"/>
      <c r="P47" s="423">
        <f t="shared" si="22"/>
        <v>1765590</v>
      </c>
      <c r="Q47" s="51">
        <f t="shared" si="23"/>
        <v>3765834</v>
      </c>
      <c r="R47" s="484">
        <f t="shared" si="2"/>
        <v>0.3191926708203891</v>
      </c>
      <c r="S47" s="459">
        <v>3749352</v>
      </c>
      <c r="T47" s="449">
        <f t="shared" si="24"/>
        <v>0</v>
      </c>
      <c r="AI47" s="449"/>
    </row>
    <row r="48" spans="2:35" ht="15.75" thickBot="1">
      <c r="B48" s="30" t="s">
        <v>42</v>
      </c>
      <c r="C48" s="419">
        <v>60997865</v>
      </c>
      <c r="D48" s="419"/>
      <c r="E48" s="419">
        <v>1026297</v>
      </c>
      <c r="F48" s="419"/>
      <c r="G48" s="419"/>
      <c r="H48" s="419"/>
      <c r="I48" s="51">
        <f t="shared" si="21"/>
        <v>62024162</v>
      </c>
      <c r="K48" s="428">
        <v>25043070</v>
      </c>
      <c r="L48" s="419">
        <v>6164780</v>
      </c>
      <c r="M48" s="419"/>
      <c r="N48" s="419"/>
      <c r="O48" s="442"/>
      <c r="P48" s="423">
        <f>SUM(K48:O48)</f>
        <v>31207850</v>
      </c>
      <c r="Q48" s="51">
        <f t="shared" si="23"/>
        <v>30816312</v>
      </c>
      <c r="R48" s="484">
        <f t="shared" si="2"/>
        <v>0.503156334462044</v>
      </c>
      <c r="S48" s="459">
        <v>30843620</v>
      </c>
      <c r="T48" s="449">
        <f>+P48+P80-S48</f>
        <v>364230</v>
      </c>
      <c r="U48" s="4">
        <v>1</v>
      </c>
      <c r="AI48" s="449"/>
    </row>
    <row r="49" spans="2:35" ht="15.75" thickBot="1">
      <c r="B49" s="32" t="s">
        <v>111</v>
      </c>
      <c r="C49" s="33">
        <f aca="true" t="shared" si="25" ref="C49:I49">+C50</f>
        <v>838212641.605054</v>
      </c>
      <c r="D49" s="33">
        <f t="shared" si="25"/>
        <v>0</v>
      </c>
      <c r="E49" s="33">
        <f t="shared" si="25"/>
        <v>0</v>
      </c>
      <c r="F49" s="33">
        <f t="shared" si="25"/>
        <v>0</v>
      </c>
      <c r="G49" s="33">
        <f t="shared" si="25"/>
        <v>150000000</v>
      </c>
      <c r="H49" s="33">
        <f t="shared" si="25"/>
        <v>0</v>
      </c>
      <c r="I49" s="34">
        <f t="shared" si="25"/>
        <v>988212641.6050539</v>
      </c>
      <c r="K49" s="429">
        <f aca="true" t="shared" si="26" ref="K49:Q49">+K50</f>
        <v>312343680</v>
      </c>
      <c r="L49" s="33">
        <f t="shared" si="26"/>
        <v>257203078.70000002</v>
      </c>
      <c r="M49" s="33">
        <f t="shared" si="26"/>
        <v>0</v>
      </c>
      <c r="N49" s="33">
        <f t="shared" si="26"/>
        <v>0</v>
      </c>
      <c r="O49" s="443">
        <f t="shared" si="26"/>
        <v>0</v>
      </c>
      <c r="P49" s="429">
        <f t="shared" si="26"/>
        <v>569546758.7</v>
      </c>
      <c r="Q49" s="34">
        <f t="shared" si="26"/>
        <v>418652186.305054</v>
      </c>
      <c r="R49" s="484">
        <f t="shared" si="2"/>
        <v>0.576340288234871</v>
      </c>
      <c r="S49" s="462"/>
      <c r="T49" s="449"/>
      <c r="AI49" s="449"/>
    </row>
    <row r="50" spans="2:35" ht="15">
      <c r="B50" s="35" t="s">
        <v>43</v>
      </c>
      <c r="C50" s="36">
        <f aca="true" t="shared" si="27" ref="C50:L50">(+C11+C12)*10%</f>
        <v>838212641.605054</v>
      </c>
      <c r="D50" s="36">
        <f t="shared" si="27"/>
        <v>0</v>
      </c>
      <c r="E50" s="36">
        <f t="shared" si="27"/>
        <v>0</v>
      </c>
      <c r="F50" s="36">
        <f t="shared" si="27"/>
        <v>0</v>
      </c>
      <c r="G50" s="36">
        <f>(+G11+G12)*10%</f>
        <v>150000000</v>
      </c>
      <c r="H50" s="36">
        <f t="shared" si="27"/>
        <v>0</v>
      </c>
      <c r="I50" s="420">
        <f t="shared" si="27"/>
        <v>988212641.6050539</v>
      </c>
      <c r="K50" s="430">
        <v>312343680</v>
      </c>
      <c r="L50" s="36">
        <f t="shared" si="27"/>
        <v>257203078.70000002</v>
      </c>
      <c r="M50" s="36">
        <f>(+M11+M12)*10%</f>
        <v>0</v>
      </c>
      <c r="N50" s="36">
        <f>(+N11+N12)*10%</f>
        <v>0</v>
      </c>
      <c r="O50" s="444">
        <f>(+O11+O12)*10%</f>
        <v>0</v>
      </c>
      <c r="P50" s="430">
        <f>SUM(K50:O50)</f>
        <v>569546758.7</v>
      </c>
      <c r="Q50" s="420">
        <f>(+Q11+Q12)*10%</f>
        <v>418652186.305054</v>
      </c>
      <c r="R50" s="484">
        <f t="shared" si="2"/>
        <v>0.576340288234871</v>
      </c>
      <c r="S50" s="463">
        <v>569546759</v>
      </c>
      <c r="T50" s="449">
        <f>+P50-S50</f>
        <v>-0.2999999523162842</v>
      </c>
      <c r="W50" s="3"/>
      <c r="AI50" s="449"/>
    </row>
    <row r="51" spans="2:35" ht="15.75" customHeight="1" outlineLevel="1">
      <c r="B51" s="24" t="s">
        <v>112</v>
      </c>
      <c r="C51" s="21">
        <f aca="true" t="shared" si="28" ref="C51:I51">+C52+C64+C82</f>
        <v>12087635111.119999</v>
      </c>
      <c r="D51" s="21">
        <f t="shared" si="28"/>
        <v>0</v>
      </c>
      <c r="E51" s="21">
        <f t="shared" si="28"/>
        <v>224171828.4984267</v>
      </c>
      <c r="F51" s="21">
        <f t="shared" si="28"/>
        <v>0</v>
      </c>
      <c r="G51" s="21">
        <f>+G52+G64+G82</f>
        <v>0</v>
      </c>
      <c r="H51" s="21">
        <f t="shared" si="28"/>
        <v>-106750000</v>
      </c>
      <c r="I51" s="22">
        <f t="shared" si="28"/>
        <v>12205056939.618427</v>
      </c>
      <c r="K51" s="424">
        <f aca="true" t="shared" si="29" ref="K51:Q51">+K52+K64+K82</f>
        <v>1681947820.16</v>
      </c>
      <c r="L51" s="21">
        <f t="shared" si="29"/>
        <v>3019904874.99</v>
      </c>
      <c r="M51" s="21">
        <f t="shared" si="29"/>
        <v>0</v>
      </c>
      <c r="N51" s="21">
        <f t="shared" si="29"/>
        <v>0</v>
      </c>
      <c r="O51" s="438">
        <f t="shared" si="29"/>
        <v>0</v>
      </c>
      <c r="P51" s="424">
        <f>+P52+P64+P82</f>
        <v>4701852695.15</v>
      </c>
      <c r="Q51" s="22">
        <f t="shared" si="29"/>
        <v>7503204244.468427</v>
      </c>
      <c r="R51" s="484">
        <f t="shared" si="2"/>
        <v>0.38523807946257693</v>
      </c>
      <c r="S51" s="460"/>
      <c r="T51" s="449"/>
      <c r="AI51" s="449"/>
    </row>
    <row r="52" spans="2:35" ht="15.75" customHeight="1" outlineLevel="1">
      <c r="B52" s="25" t="s">
        <v>7</v>
      </c>
      <c r="C52" s="29">
        <f aca="true" t="shared" si="30" ref="C52:I52">SUM(C53:C63)</f>
        <v>3485691864</v>
      </c>
      <c r="D52" s="29">
        <f t="shared" si="30"/>
        <v>0</v>
      </c>
      <c r="E52" s="29">
        <f t="shared" si="30"/>
        <v>166896905.49842668</v>
      </c>
      <c r="F52" s="29">
        <f t="shared" si="30"/>
        <v>0</v>
      </c>
      <c r="G52" s="29">
        <f>SUM(G53:G63)</f>
        <v>0</v>
      </c>
      <c r="H52" s="29">
        <f t="shared" si="30"/>
        <v>-50200000</v>
      </c>
      <c r="I52" s="38">
        <f t="shared" si="30"/>
        <v>3602388769.4984264</v>
      </c>
      <c r="K52" s="427">
        <f aca="true" t="shared" si="31" ref="K52:Q52">SUM(K53:K63)</f>
        <v>682811191</v>
      </c>
      <c r="L52" s="29">
        <f t="shared" si="31"/>
        <v>857697380</v>
      </c>
      <c r="M52" s="29">
        <f t="shared" si="31"/>
        <v>0</v>
      </c>
      <c r="N52" s="29">
        <f t="shared" si="31"/>
        <v>0</v>
      </c>
      <c r="O52" s="441">
        <f t="shared" si="31"/>
        <v>0</v>
      </c>
      <c r="P52" s="427">
        <f t="shared" si="31"/>
        <v>1540508571</v>
      </c>
      <c r="Q52" s="38">
        <f t="shared" si="31"/>
        <v>2061880198.4984267</v>
      </c>
      <c r="R52" s="484">
        <f t="shared" si="2"/>
        <v>0.4276352913498813</v>
      </c>
      <c r="S52" s="461"/>
      <c r="T52" s="449"/>
      <c r="AI52" s="449"/>
    </row>
    <row r="53" spans="2:35" ht="15.75" customHeight="1" outlineLevel="1">
      <c r="B53" s="40" t="s">
        <v>27</v>
      </c>
      <c r="C53" s="28">
        <v>1666601192</v>
      </c>
      <c r="D53" s="28"/>
      <c r="E53" s="28">
        <v>104786853</v>
      </c>
      <c r="F53" s="28"/>
      <c r="G53" s="28"/>
      <c r="H53" s="28"/>
      <c r="I53" s="51">
        <f aca="true" t="shared" si="32" ref="I53:I63">SUM(C53:H53)</f>
        <v>1771388045</v>
      </c>
      <c r="K53" s="426">
        <v>369922344</v>
      </c>
      <c r="L53" s="28">
        <v>448190488</v>
      </c>
      <c r="M53" s="28"/>
      <c r="N53" s="28"/>
      <c r="O53" s="440"/>
      <c r="P53" s="423">
        <f aca="true" t="shared" si="33" ref="P53:P63">SUM(K53:O53)</f>
        <v>818112832</v>
      </c>
      <c r="Q53" s="51">
        <f aca="true" t="shared" si="34" ref="Q53:Q63">+I53-P53</f>
        <v>953275213</v>
      </c>
      <c r="R53" s="484">
        <f t="shared" si="2"/>
        <v>0.4618484551192734</v>
      </c>
      <c r="S53" s="459"/>
      <c r="T53" s="449"/>
      <c r="AI53" s="449"/>
    </row>
    <row r="54" spans="2:35" ht="15.75" customHeight="1" outlineLevel="1">
      <c r="B54" s="40" t="s">
        <v>28</v>
      </c>
      <c r="C54" s="28">
        <v>68340222</v>
      </c>
      <c r="D54" s="28"/>
      <c r="E54" s="28">
        <v>5027833</v>
      </c>
      <c r="F54" s="28"/>
      <c r="G54" s="28"/>
      <c r="H54" s="28"/>
      <c r="I54" s="51">
        <f t="shared" si="32"/>
        <v>73368055</v>
      </c>
      <c r="K54" s="426">
        <v>15757183</v>
      </c>
      <c r="L54" s="28">
        <v>18566767</v>
      </c>
      <c r="M54" s="28"/>
      <c r="N54" s="28"/>
      <c r="O54" s="440"/>
      <c r="P54" s="423">
        <f t="shared" si="33"/>
        <v>34323950</v>
      </c>
      <c r="Q54" s="51">
        <f t="shared" si="34"/>
        <v>39044105</v>
      </c>
      <c r="R54" s="484">
        <f t="shared" si="2"/>
        <v>0.4678323556485176</v>
      </c>
      <c r="S54" s="459"/>
      <c r="T54" s="449"/>
      <c r="AI54" s="449"/>
    </row>
    <row r="55" spans="2:35" ht="15.75" customHeight="1" outlineLevel="1">
      <c r="B55" s="40" t="s">
        <v>49</v>
      </c>
      <c r="C55" s="28">
        <v>3086664</v>
      </c>
      <c r="D55" s="28"/>
      <c r="E55" s="28">
        <v>278516.4984266665</v>
      </c>
      <c r="F55" s="28"/>
      <c r="G55" s="28"/>
      <c r="H55" s="28"/>
      <c r="I55" s="51">
        <f t="shared" si="32"/>
        <v>3365180.4984266665</v>
      </c>
      <c r="K55" s="426">
        <v>712403</v>
      </c>
      <c r="L55" s="28">
        <v>843636</v>
      </c>
      <c r="M55" s="28"/>
      <c r="N55" s="28"/>
      <c r="O55" s="440"/>
      <c r="P55" s="423">
        <f t="shared" si="33"/>
        <v>1556039</v>
      </c>
      <c r="Q55" s="51">
        <f t="shared" si="34"/>
        <v>1809141.4984266665</v>
      </c>
      <c r="R55" s="484">
        <f t="shared" si="2"/>
        <v>0.4623939193536572</v>
      </c>
      <c r="S55" s="459"/>
      <c r="T55" s="449"/>
      <c r="AI55" s="449"/>
    </row>
    <row r="56" spans="2:35" ht="15" outlineLevel="1">
      <c r="B56" s="40" t="s">
        <v>29</v>
      </c>
      <c r="C56" s="28">
        <v>136680438</v>
      </c>
      <c r="D56" s="28"/>
      <c r="E56" s="28">
        <v>10055664</v>
      </c>
      <c r="F56" s="28"/>
      <c r="G56" s="28"/>
      <c r="H56" s="28"/>
      <c r="I56" s="51">
        <f t="shared" si="32"/>
        <v>146736102</v>
      </c>
      <c r="K56" s="426">
        <v>31249255</v>
      </c>
      <c r="L56" s="28">
        <v>37203835</v>
      </c>
      <c r="M56" s="28"/>
      <c r="N56" s="28"/>
      <c r="O56" s="440"/>
      <c r="P56" s="423">
        <f t="shared" si="33"/>
        <v>68453090</v>
      </c>
      <c r="Q56" s="51">
        <f t="shared" si="34"/>
        <v>78283012</v>
      </c>
      <c r="R56" s="484">
        <f t="shared" si="2"/>
        <v>0.4665047596807499</v>
      </c>
      <c r="S56" s="459"/>
      <c r="T56" s="449"/>
      <c r="AI56" s="449"/>
    </row>
    <row r="57" spans="2:35" ht="15" outlineLevel="1">
      <c r="B57" s="40" t="s">
        <v>8</v>
      </c>
      <c r="C57" s="138">
        <v>903455910</v>
      </c>
      <c r="D57" s="138"/>
      <c r="E57" s="138">
        <v>705775</v>
      </c>
      <c r="F57" s="138"/>
      <c r="G57" s="138"/>
      <c r="H57" s="138">
        <v>-50200000</v>
      </c>
      <c r="I57" s="51">
        <f t="shared" si="32"/>
        <v>853961685</v>
      </c>
      <c r="K57" s="431">
        <v>108084478</v>
      </c>
      <c r="L57" s="138">
        <v>166635688</v>
      </c>
      <c r="M57" s="138"/>
      <c r="N57" s="138"/>
      <c r="O57" s="445"/>
      <c r="P57" s="423">
        <f t="shared" si="33"/>
        <v>274720166</v>
      </c>
      <c r="Q57" s="51">
        <f t="shared" si="34"/>
        <v>579241519</v>
      </c>
      <c r="R57" s="484">
        <f t="shared" si="2"/>
        <v>0.3217008102652755</v>
      </c>
      <c r="S57" s="459"/>
      <c r="T57" s="449"/>
      <c r="AI57" s="449"/>
    </row>
    <row r="58" spans="2:35" ht="15" outlineLevel="1">
      <c r="B58" s="40" t="s">
        <v>30</v>
      </c>
      <c r="C58" s="28">
        <v>3270000.0000000005</v>
      </c>
      <c r="D58" s="28"/>
      <c r="E58" s="28">
        <v>123599.99999999953</v>
      </c>
      <c r="F58" s="28"/>
      <c r="G58" s="28"/>
      <c r="H58" s="28"/>
      <c r="I58" s="51">
        <f t="shared" si="32"/>
        <v>3393600</v>
      </c>
      <c r="K58" s="426">
        <v>3235839</v>
      </c>
      <c r="L58" s="28">
        <v>0</v>
      </c>
      <c r="M58" s="28"/>
      <c r="N58" s="28"/>
      <c r="O58" s="440"/>
      <c r="P58" s="423">
        <f t="shared" si="33"/>
        <v>3235839</v>
      </c>
      <c r="Q58" s="51">
        <f t="shared" si="34"/>
        <v>157761</v>
      </c>
      <c r="R58" s="484">
        <f t="shared" si="2"/>
        <v>0.9535121994342292</v>
      </c>
      <c r="S58" s="459"/>
      <c r="T58" s="449"/>
      <c r="AI58" s="449"/>
    </row>
    <row r="59" spans="2:35" ht="15" outlineLevel="1">
      <c r="B59" s="40" t="s">
        <v>31</v>
      </c>
      <c r="C59" s="28">
        <v>136680438</v>
      </c>
      <c r="D59" s="28"/>
      <c r="E59" s="28">
        <v>10055664</v>
      </c>
      <c r="F59" s="28"/>
      <c r="G59" s="28"/>
      <c r="H59" s="28"/>
      <c r="I59" s="51">
        <f t="shared" si="32"/>
        <v>146736102</v>
      </c>
      <c r="K59" s="426">
        <v>30992122</v>
      </c>
      <c r="L59" s="28">
        <v>37203836</v>
      </c>
      <c r="M59" s="28"/>
      <c r="N59" s="28"/>
      <c r="O59" s="440"/>
      <c r="P59" s="423">
        <f t="shared" si="33"/>
        <v>68195958</v>
      </c>
      <c r="Q59" s="51">
        <f t="shared" si="34"/>
        <v>78540144</v>
      </c>
      <c r="R59" s="484">
        <f t="shared" si="2"/>
        <v>0.46475241655254</v>
      </c>
      <c r="S59" s="459"/>
      <c r="T59" s="449"/>
      <c r="AI59" s="449"/>
    </row>
    <row r="60" spans="2:35" ht="15" outlineLevel="1">
      <c r="B60" s="40" t="s">
        <v>32</v>
      </c>
      <c r="C60" s="28">
        <v>16402000</v>
      </c>
      <c r="D60" s="28"/>
      <c r="E60" s="28">
        <v>1208000</v>
      </c>
      <c r="F60" s="28"/>
      <c r="G60" s="28"/>
      <c r="H60" s="28"/>
      <c r="I60" s="51">
        <f t="shared" si="32"/>
        <v>17610000</v>
      </c>
      <c r="K60" s="426">
        <v>776896</v>
      </c>
      <c r="L60" s="28">
        <v>2879524</v>
      </c>
      <c r="M60" s="28"/>
      <c r="N60" s="28"/>
      <c r="O60" s="440"/>
      <c r="P60" s="423">
        <f t="shared" si="33"/>
        <v>3656420</v>
      </c>
      <c r="Q60" s="51">
        <f t="shared" si="34"/>
        <v>13953580</v>
      </c>
      <c r="R60" s="484">
        <f t="shared" si="2"/>
        <v>0.20763316297558204</v>
      </c>
      <c r="S60" s="459"/>
      <c r="T60" s="449"/>
      <c r="AI60" s="449"/>
    </row>
    <row r="61" spans="2:35" ht="15" outlineLevel="1">
      <c r="B61" s="40" t="s">
        <v>33</v>
      </c>
      <c r="C61" s="28">
        <v>396230000</v>
      </c>
      <c r="D61" s="28"/>
      <c r="E61" s="28">
        <v>24815000</v>
      </c>
      <c r="F61" s="28"/>
      <c r="G61" s="28"/>
      <c r="H61" s="28"/>
      <c r="I61" s="51">
        <f t="shared" si="32"/>
        <v>421045000</v>
      </c>
      <c r="K61" s="426">
        <v>88573471</v>
      </c>
      <c r="L61" s="28">
        <v>106031506</v>
      </c>
      <c r="M61" s="28"/>
      <c r="N61" s="28"/>
      <c r="O61" s="440"/>
      <c r="P61" s="423">
        <f t="shared" si="33"/>
        <v>194604977</v>
      </c>
      <c r="Q61" s="51">
        <f t="shared" si="34"/>
        <v>226440023</v>
      </c>
      <c r="R61" s="484">
        <f t="shared" si="2"/>
        <v>0.46219519766295764</v>
      </c>
      <c r="S61" s="459"/>
      <c r="T61" s="449"/>
      <c r="AI61" s="449"/>
    </row>
    <row r="62" spans="2:35" ht="15" outlineLevel="1">
      <c r="B62" s="40" t="s">
        <v>34</v>
      </c>
      <c r="C62" s="28">
        <v>68858000</v>
      </c>
      <c r="D62" s="28"/>
      <c r="E62" s="28">
        <v>4384000</v>
      </c>
      <c r="F62" s="28"/>
      <c r="G62" s="28"/>
      <c r="H62" s="28"/>
      <c r="I62" s="51">
        <f t="shared" si="32"/>
        <v>73242000</v>
      </c>
      <c r="K62" s="426">
        <v>14889900</v>
      </c>
      <c r="L62" s="28">
        <v>17839600</v>
      </c>
      <c r="M62" s="28"/>
      <c r="N62" s="28"/>
      <c r="O62" s="440"/>
      <c r="P62" s="423">
        <f t="shared" si="33"/>
        <v>32729500</v>
      </c>
      <c r="Q62" s="51">
        <f t="shared" si="34"/>
        <v>40512500</v>
      </c>
      <c r="R62" s="484">
        <f t="shared" si="2"/>
        <v>0.44686791731520165</v>
      </c>
      <c r="S62" s="459"/>
      <c r="T62" s="449"/>
      <c r="AI62" s="449"/>
    </row>
    <row r="63" spans="2:35" ht="15" outlineLevel="1">
      <c r="B63" s="40" t="s">
        <v>35</v>
      </c>
      <c r="C63" s="28">
        <v>86087000</v>
      </c>
      <c r="D63" s="28"/>
      <c r="E63" s="28">
        <v>5456000</v>
      </c>
      <c r="F63" s="28"/>
      <c r="G63" s="28"/>
      <c r="H63" s="28"/>
      <c r="I63" s="51">
        <f t="shared" si="32"/>
        <v>91543000</v>
      </c>
      <c r="K63" s="426">
        <v>18617300</v>
      </c>
      <c r="L63" s="28">
        <v>22302500</v>
      </c>
      <c r="M63" s="28"/>
      <c r="N63" s="28"/>
      <c r="O63" s="440"/>
      <c r="P63" s="423">
        <f t="shared" si="33"/>
        <v>40919800</v>
      </c>
      <c r="Q63" s="51">
        <f t="shared" si="34"/>
        <v>50623200</v>
      </c>
      <c r="R63" s="484">
        <f t="shared" si="2"/>
        <v>0.4470008629824236</v>
      </c>
      <c r="S63" s="459"/>
      <c r="T63" s="449"/>
      <c r="AI63" s="449"/>
    </row>
    <row r="64" spans="2:35" ht="15">
      <c r="B64" s="25" t="s">
        <v>9</v>
      </c>
      <c r="C64" s="29">
        <f aca="true" t="shared" si="35" ref="C64:H64">SUM(C65:C81)</f>
        <v>2685238247.12</v>
      </c>
      <c r="D64" s="29">
        <f t="shared" si="35"/>
        <v>0</v>
      </c>
      <c r="E64" s="29">
        <f t="shared" si="35"/>
        <v>17746962.999999996</v>
      </c>
      <c r="F64" s="29">
        <f t="shared" si="35"/>
        <v>0</v>
      </c>
      <c r="G64" s="29">
        <f>SUM(G65:G81)</f>
        <v>0</v>
      </c>
      <c r="H64" s="29">
        <f t="shared" si="35"/>
        <v>-56550000</v>
      </c>
      <c r="I64" s="38">
        <f>SUM(I65:I81)</f>
        <v>2646435210.12</v>
      </c>
      <c r="K64" s="427">
        <f aca="true" t="shared" si="36" ref="K64:Q64">SUM(K65:K81)</f>
        <v>504056807.32</v>
      </c>
      <c r="L64" s="29">
        <f t="shared" si="36"/>
        <v>716862245.99</v>
      </c>
      <c r="M64" s="29">
        <f t="shared" si="36"/>
        <v>0</v>
      </c>
      <c r="N64" s="29">
        <f t="shared" si="36"/>
        <v>0</v>
      </c>
      <c r="O64" s="441">
        <f t="shared" si="36"/>
        <v>0</v>
      </c>
      <c r="P64" s="427">
        <f>SUM(P65:P81)</f>
        <v>1220919053.31</v>
      </c>
      <c r="Q64" s="38">
        <f t="shared" si="36"/>
        <v>1425516156.8100002</v>
      </c>
      <c r="R64" s="484">
        <f t="shared" si="2"/>
        <v>0.4613447737700855</v>
      </c>
      <c r="S64" s="461"/>
      <c r="T64" s="449"/>
      <c r="AI64" s="449"/>
    </row>
    <row r="65" spans="2:35" ht="15">
      <c r="B65" s="40" t="s">
        <v>125</v>
      </c>
      <c r="C65" s="28">
        <v>251475828</v>
      </c>
      <c r="D65" s="28"/>
      <c r="E65" s="28">
        <v>870309</v>
      </c>
      <c r="F65" s="28">
        <v>-645900</v>
      </c>
      <c r="G65" s="28"/>
      <c r="H65" s="28"/>
      <c r="I65" s="51">
        <f aca="true" t="shared" si="37" ref="I65:I81">SUM(C65:H65)</f>
        <v>251700237</v>
      </c>
      <c r="K65" s="426">
        <v>142026481</v>
      </c>
      <c r="L65" s="28">
        <v>13940765</v>
      </c>
      <c r="M65" s="28"/>
      <c r="N65" s="28"/>
      <c r="O65" s="440"/>
      <c r="P65" s="423">
        <f aca="true" t="shared" si="38" ref="P65:P81">SUM(K65:O65)</f>
        <v>155967246</v>
      </c>
      <c r="Q65" s="51">
        <f aca="true" t="shared" si="39" ref="Q65:Q81">+I65-P65</f>
        <v>95732991</v>
      </c>
      <c r="R65" s="484">
        <f t="shared" si="2"/>
        <v>0.6196547443060214</v>
      </c>
      <c r="S65" s="459"/>
      <c r="T65" s="449"/>
      <c r="AI65" s="449"/>
    </row>
    <row r="66" spans="2:35" ht="15">
      <c r="B66" s="40" t="s">
        <v>121</v>
      </c>
      <c r="C66" s="28">
        <v>510500000</v>
      </c>
      <c r="D66" s="28"/>
      <c r="E66" s="28"/>
      <c r="F66" s="28"/>
      <c r="G66" s="28"/>
      <c r="H66" s="28"/>
      <c r="I66" s="51">
        <f t="shared" si="37"/>
        <v>510500000</v>
      </c>
      <c r="K66" s="426">
        <v>9666046.32</v>
      </c>
      <c r="L66" s="28">
        <v>273031081</v>
      </c>
      <c r="M66" s="28"/>
      <c r="N66" s="28"/>
      <c r="O66" s="440"/>
      <c r="P66" s="423">
        <f t="shared" si="38"/>
        <v>282697127.32</v>
      </c>
      <c r="Q66" s="51">
        <f t="shared" si="39"/>
        <v>227802872.68</v>
      </c>
      <c r="R66" s="484">
        <f t="shared" si="2"/>
        <v>0.5537651857394711</v>
      </c>
      <c r="S66" s="459"/>
      <c r="T66" s="449"/>
      <c r="AI66" s="449"/>
    </row>
    <row r="67" spans="2:35" ht="15">
      <c r="B67" s="40" t="s">
        <v>36</v>
      </c>
      <c r="C67" s="28">
        <v>0</v>
      </c>
      <c r="D67" s="28"/>
      <c r="E67" s="28"/>
      <c r="F67" s="28"/>
      <c r="G67" s="28"/>
      <c r="H67" s="28"/>
      <c r="I67" s="51">
        <f t="shared" si="37"/>
        <v>0</v>
      </c>
      <c r="K67" s="426">
        <v>0</v>
      </c>
      <c r="L67" s="28">
        <v>0</v>
      </c>
      <c r="M67" s="28"/>
      <c r="N67" s="28"/>
      <c r="O67" s="440"/>
      <c r="P67" s="423">
        <f t="shared" si="38"/>
        <v>0</v>
      </c>
      <c r="Q67" s="51">
        <f t="shared" si="39"/>
        <v>0</v>
      </c>
      <c r="R67" s="484" t="e">
        <f t="shared" si="2"/>
        <v>#DIV/0!</v>
      </c>
      <c r="S67" s="459"/>
      <c r="T67" s="449"/>
      <c r="AI67" s="449"/>
    </row>
    <row r="68" spans="2:35" ht="15">
      <c r="B68" s="40" t="s">
        <v>37</v>
      </c>
      <c r="C68" s="28">
        <v>59897424</v>
      </c>
      <c r="D68" s="28"/>
      <c r="E68" s="28">
        <v>1280686</v>
      </c>
      <c r="F68" s="28"/>
      <c r="G68" s="28"/>
      <c r="H68" s="28">
        <v>-13200000</v>
      </c>
      <c r="I68" s="51">
        <f t="shared" si="37"/>
        <v>47978110</v>
      </c>
      <c r="K68" s="426">
        <v>7564685</v>
      </c>
      <c r="L68" s="28">
        <v>6953393</v>
      </c>
      <c r="M68" s="28"/>
      <c r="N68" s="28"/>
      <c r="O68" s="440"/>
      <c r="P68" s="423">
        <f t="shared" si="38"/>
        <v>14518078</v>
      </c>
      <c r="Q68" s="51">
        <f t="shared" si="39"/>
        <v>33460032</v>
      </c>
      <c r="R68" s="484">
        <f t="shared" si="2"/>
        <v>0.30259795560933933</v>
      </c>
      <c r="S68" s="459"/>
      <c r="T68" s="449"/>
      <c r="AI68" s="449"/>
    </row>
    <row r="69" spans="2:35" ht="15">
      <c r="B69" s="40" t="s">
        <v>3</v>
      </c>
      <c r="C69" s="28">
        <v>8232000</v>
      </c>
      <c r="D69" s="28"/>
      <c r="E69" s="28">
        <v>197760</v>
      </c>
      <c r="F69" s="28"/>
      <c r="G69" s="28"/>
      <c r="H69" s="28"/>
      <c r="I69" s="51">
        <f t="shared" si="37"/>
        <v>8429760</v>
      </c>
      <c r="K69" s="426">
        <v>433981</v>
      </c>
      <c r="L69" s="28">
        <v>1076064</v>
      </c>
      <c r="M69" s="28"/>
      <c r="N69" s="28"/>
      <c r="O69" s="440"/>
      <c r="P69" s="423">
        <f t="shared" si="38"/>
        <v>1510045</v>
      </c>
      <c r="Q69" s="51">
        <f t="shared" si="39"/>
        <v>6919715</v>
      </c>
      <c r="R69" s="484">
        <f t="shared" si="2"/>
        <v>0.17913262062027863</v>
      </c>
      <c r="S69" s="459"/>
      <c r="T69" s="449"/>
      <c r="AI69" s="449"/>
    </row>
    <row r="70" spans="2:35" ht="15">
      <c r="B70" s="40" t="s">
        <v>4</v>
      </c>
      <c r="C70" s="28">
        <v>500072064</v>
      </c>
      <c r="D70" s="28"/>
      <c r="E70" s="28">
        <v>2953804</v>
      </c>
      <c r="F70" s="28"/>
      <c r="G70" s="28"/>
      <c r="H70" s="28"/>
      <c r="I70" s="51">
        <f t="shared" si="37"/>
        <v>503025868</v>
      </c>
      <c r="K70" s="426">
        <v>68861023</v>
      </c>
      <c r="L70" s="28">
        <v>112560458</v>
      </c>
      <c r="M70" s="28"/>
      <c r="N70" s="28"/>
      <c r="O70" s="440"/>
      <c r="P70" s="423">
        <f t="shared" si="38"/>
        <v>181421481</v>
      </c>
      <c r="Q70" s="51">
        <f t="shared" si="39"/>
        <v>321604387</v>
      </c>
      <c r="R70" s="484">
        <f t="shared" si="2"/>
        <v>0.360660340831617</v>
      </c>
      <c r="S70" s="459"/>
      <c r="T70" s="449"/>
      <c r="AI70" s="449"/>
    </row>
    <row r="71" spans="2:35" ht="15">
      <c r="B71" s="40" t="s">
        <v>5</v>
      </c>
      <c r="C71" s="28">
        <v>984329376</v>
      </c>
      <c r="D71" s="28"/>
      <c r="E71" s="28">
        <v>10927438.999999996</v>
      </c>
      <c r="F71" s="28"/>
      <c r="G71" s="28"/>
      <c r="H71" s="28"/>
      <c r="I71" s="51">
        <f t="shared" si="37"/>
        <v>995256815</v>
      </c>
      <c r="K71" s="426">
        <v>239140194</v>
      </c>
      <c r="L71" s="28">
        <v>233216213</v>
      </c>
      <c r="M71" s="28"/>
      <c r="N71" s="28"/>
      <c r="O71" s="440"/>
      <c r="P71" s="423">
        <f t="shared" si="38"/>
        <v>472356407</v>
      </c>
      <c r="Q71" s="51">
        <f t="shared" si="39"/>
        <v>522900408</v>
      </c>
      <c r="R71" s="484">
        <f t="shared" si="2"/>
        <v>0.4746075584521368</v>
      </c>
      <c r="S71" s="459"/>
      <c r="T71" s="449"/>
      <c r="AI71" s="449"/>
    </row>
    <row r="72" spans="2:35" ht="15">
      <c r="B72" s="40" t="s">
        <v>38</v>
      </c>
      <c r="C72" s="28">
        <v>25000000</v>
      </c>
      <c r="D72" s="28"/>
      <c r="E72" s="28"/>
      <c r="F72" s="28"/>
      <c r="G72" s="28"/>
      <c r="H72" s="28"/>
      <c r="I72" s="51">
        <f t="shared" si="37"/>
        <v>25000000</v>
      </c>
      <c r="K72" s="426">
        <v>0</v>
      </c>
      <c r="L72" s="28">
        <v>8073912</v>
      </c>
      <c r="M72" s="28"/>
      <c r="N72" s="28"/>
      <c r="O72" s="440"/>
      <c r="P72" s="423">
        <f t="shared" si="38"/>
        <v>8073912</v>
      </c>
      <c r="Q72" s="51">
        <f t="shared" si="39"/>
        <v>16926088</v>
      </c>
      <c r="R72" s="484">
        <f t="shared" si="2"/>
        <v>0.32295648</v>
      </c>
      <c r="S72" s="459"/>
      <c r="T72" s="449"/>
      <c r="AI72" s="449"/>
    </row>
    <row r="73" spans="2:35" ht="15">
      <c r="B73" s="40" t="s">
        <v>6</v>
      </c>
      <c r="C73" s="28">
        <v>152381003.16</v>
      </c>
      <c r="D73" s="28"/>
      <c r="E73" s="28">
        <v>240970</v>
      </c>
      <c r="F73" s="28"/>
      <c r="G73" s="28"/>
      <c r="H73" s="28">
        <v>-11850000</v>
      </c>
      <c r="I73" s="51">
        <f t="shared" si="37"/>
        <v>140771973.16</v>
      </c>
      <c r="K73" s="426">
        <v>6894062</v>
      </c>
      <c r="L73" s="28">
        <v>55661812</v>
      </c>
      <c r="M73" s="28"/>
      <c r="N73" s="28"/>
      <c r="O73" s="440"/>
      <c r="P73" s="423">
        <f t="shared" si="38"/>
        <v>62555874</v>
      </c>
      <c r="Q73" s="51">
        <f t="shared" si="39"/>
        <v>78216099.16</v>
      </c>
      <c r="R73" s="484">
        <f t="shared" si="2"/>
        <v>0.44437733304270466</v>
      </c>
      <c r="S73" s="459"/>
      <c r="T73" s="449"/>
      <c r="AI73" s="449"/>
    </row>
    <row r="74" spans="2:35" ht="15">
      <c r="B74" s="40" t="s">
        <v>89</v>
      </c>
      <c r="C74" s="28">
        <v>31897485</v>
      </c>
      <c r="D74" s="28"/>
      <c r="E74" s="28">
        <v>229550</v>
      </c>
      <c r="F74" s="28"/>
      <c r="G74" s="28"/>
      <c r="H74" s="28">
        <v>-4500000</v>
      </c>
      <c r="I74" s="51">
        <f t="shared" si="37"/>
        <v>27627035</v>
      </c>
      <c r="K74" s="426">
        <v>1396025</v>
      </c>
      <c r="L74" s="28">
        <v>3487286.99</v>
      </c>
      <c r="M74" s="28"/>
      <c r="N74" s="28"/>
      <c r="O74" s="440"/>
      <c r="P74" s="423">
        <f t="shared" si="38"/>
        <v>4883311.99</v>
      </c>
      <c r="Q74" s="51">
        <f t="shared" si="39"/>
        <v>22743723.009999998</v>
      </c>
      <c r="R74" s="484">
        <f t="shared" si="2"/>
        <v>0.17675845381163777</v>
      </c>
      <c r="S74" s="459"/>
      <c r="T74" s="449"/>
      <c r="AI74" s="449"/>
    </row>
    <row r="75" spans="2:35" ht="15">
      <c r="B75" s="40" t="s">
        <v>39</v>
      </c>
      <c r="C75" s="28">
        <v>76951356.96000001</v>
      </c>
      <c r="D75" s="28"/>
      <c r="E75" s="28">
        <v>19782</v>
      </c>
      <c r="F75" s="28"/>
      <c r="G75" s="28"/>
      <c r="H75" s="28"/>
      <c r="I75" s="51">
        <f t="shared" si="37"/>
        <v>76971138.96000001</v>
      </c>
      <c r="K75" s="426">
        <v>20141213</v>
      </c>
      <c r="L75" s="28">
        <v>1236202</v>
      </c>
      <c r="M75" s="28"/>
      <c r="N75" s="28"/>
      <c r="O75" s="440"/>
      <c r="P75" s="423">
        <f t="shared" si="38"/>
        <v>21377415</v>
      </c>
      <c r="Q75" s="51">
        <f t="shared" si="39"/>
        <v>55593723.96000001</v>
      </c>
      <c r="R75" s="484">
        <f aca="true" t="shared" si="40" ref="R75:R118">+P75/I75</f>
        <v>0.277732865705798</v>
      </c>
      <c r="S75" s="459"/>
      <c r="T75" s="449"/>
      <c r="AI75" s="449"/>
    </row>
    <row r="76" spans="2:35" ht="15">
      <c r="B76" s="40" t="s">
        <v>40</v>
      </c>
      <c r="C76" s="28">
        <v>0</v>
      </c>
      <c r="D76" s="28"/>
      <c r="E76" s="28"/>
      <c r="F76" s="28"/>
      <c r="G76" s="28"/>
      <c r="H76" s="28"/>
      <c r="I76" s="51">
        <f t="shared" si="37"/>
        <v>0</v>
      </c>
      <c r="K76" s="426">
        <v>0</v>
      </c>
      <c r="L76" s="28">
        <v>0</v>
      </c>
      <c r="M76" s="28"/>
      <c r="N76" s="28"/>
      <c r="O76" s="440"/>
      <c r="P76" s="423">
        <f t="shared" si="38"/>
        <v>0</v>
      </c>
      <c r="Q76" s="51">
        <f t="shared" si="39"/>
        <v>0</v>
      </c>
      <c r="R76" s="484" t="e">
        <f t="shared" si="40"/>
        <v>#DIV/0!</v>
      </c>
      <c r="S76" s="459"/>
      <c r="T76" s="449"/>
      <c r="AI76" s="449"/>
    </row>
    <row r="77" spans="2:35" ht="15">
      <c r="B77" s="40" t="s">
        <v>41</v>
      </c>
      <c r="C77" s="28">
        <v>80160000</v>
      </c>
      <c r="D77" s="28"/>
      <c r="E77" s="28">
        <v>988800</v>
      </c>
      <c r="F77" s="28"/>
      <c r="G77" s="28"/>
      <c r="H77" s="28">
        <v>-27000000</v>
      </c>
      <c r="I77" s="51">
        <f t="shared" si="37"/>
        <v>54148800</v>
      </c>
      <c r="K77" s="426">
        <v>6787197</v>
      </c>
      <c r="L77" s="28">
        <v>6787197</v>
      </c>
      <c r="M77" s="28"/>
      <c r="N77" s="28"/>
      <c r="O77" s="440"/>
      <c r="P77" s="423">
        <f t="shared" si="38"/>
        <v>13574394</v>
      </c>
      <c r="Q77" s="51">
        <f t="shared" si="39"/>
        <v>40574406</v>
      </c>
      <c r="R77" s="484">
        <f t="shared" si="40"/>
        <v>0.2506868850279231</v>
      </c>
      <c r="S77" s="459"/>
      <c r="T77" s="449"/>
      <c r="AI77" s="449"/>
    </row>
    <row r="78" spans="2:35" ht="15">
      <c r="B78" s="40" t="s">
        <v>51</v>
      </c>
      <c r="C78" s="41">
        <v>0</v>
      </c>
      <c r="D78" s="41"/>
      <c r="E78" s="41"/>
      <c r="F78" s="41"/>
      <c r="G78" s="41"/>
      <c r="H78" s="41"/>
      <c r="I78" s="51">
        <f t="shared" si="37"/>
        <v>0</v>
      </c>
      <c r="K78" s="432"/>
      <c r="L78" s="41">
        <v>0</v>
      </c>
      <c r="M78" s="41"/>
      <c r="N78" s="41"/>
      <c r="O78" s="446"/>
      <c r="P78" s="423">
        <f t="shared" si="38"/>
        <v>0</v>
      </c>
      <c r="Q78" s="51">
        <f t="shared" si="39"/>
        <v>0</v>
      </c>
      <c r="R78" s="484" t="e">
        <f t="shared" si="40"/>
        <v>#DIV/0!</v>
      </c>
      <c r="S78" s="459"/>
      <c r="T78" s="449"/>
      <c r="AI78" s="449"/>
    </row>
    <row r="79" spans="2:35" ht="15">
      <c r="B79" s="40" t="s">
        <v>90</v>
      </c>
      <c r="C79" s="138">
        <v>4341710</v>
      </c>
      <c r="D79" s="138"/>
      <c r="E79" s="138">
        <v>37862.99999999999</v>
      </c>
      <c r="F79" s="138">
        <v>645900</v>
      </c>
      <c r="G79" s="138"/>
      <c r="H79" s="138"/>
      <c r="I79" s="51">
        <f t="shared" si="37"/>
        <v>5025473</v>
      </c>
      <c r="K79" s="431">
        <v>1145900</v>
      </c>
      <c r="L79" s="138">
        <v>837862</v>
      </c>
      <c r="M79" s="138"/>
      <c r="N79" s="138"/>
      <c r="O79" s="445"/>
      <c r="P79" s="423">
        <f t="shared" si="38"/>
        <v>1983762</v>
      </c>
      <c r="Q79" s="51">
        <f t="shared" si="39"/>
        <v>3041711</v>
      </c>
      <c r="R79" s="484">
        <f t="shared" si="40"/>
        <v>0.39474135071464916</v>
      </c>
      <c r="S79" s="459"/>
      <c r="T79" s="449"/>
      <c r="AI79" s="449"/>
    </row>
    <row r="80" spans="2:35" ht="15">
      <c r="B80" s="40" t="s">
        <v>10</v>
      </c>
      <c r="C80" s="28">
        <v>0</v>
      </c>
      <c r="D80" s="28"/>
      <c r="E80" s="28"/>
      <c r="F80" s="28"/>
      <c r="G80" s="28"/>
      <c r="H80" s="28"/>
      <c r="I80" s="51">
        <f t="shared" si="37"/>
        <v>0</v>
      </c>
      <c r="K80" s="426"/>
      <c r="L80" s="28"/>
      <c r="M80" s="28"/>
      <c r="N80" s="28"/>
      <c r="O80" s="440"/>
      <c r="P80" s="423">
        <f t="shared" si="38"/>
        <v>0</v>
      </c>
      <c r="Q80" s="51">
        <f t="shared" si="39"/>
        <v>0</v>
      </c>
      <c r="R80" s="484" t="e">
        <f t="shared" si="40"/>
        <v>#DIV/0!</v>
      </c>
      <c r="S80" s="459"/>
      <c r="T80" s="449"/>
      <c r="AI80" s="449"/>
    </row>
    <row r="81" spans="2:35" ht="15">
      <c r="B81" s="40" t="s">
        <v>42</v>
      </c>
      <c r="C81" s="28">
        <v>0</v>
      </c>
      <c r="D81" s="28"/>
      <c r="E81" s="28"/>
      <c r="F81" s="28"/>
      <c r="G81" s="28"/>
      <c r="H81" s="28"/>
      <c r="I81" s="51">
        <f t="shared" si="37"/>
        <v>0</v>
      </c>
      <c r="K81" s="426"/>
      <c r="L81" s="28"/>
      <c r="M81" s="28"/>
      <c r="N81" s="28"/>
      <c r="O81" s="440"/>
      <c r="P81" s="423">
        <f t="shared" si="38"/>
        <v>0</v>
      </c>
      <c r="Q81" s="51">
        <f t="shared" si="39"/>
        <v>0</v>
      </c>
      <c r="R81" s="484" t="e">
        <f t="shared" si="40"/>
        <v>#DIV/0!</v>
      </c>
      <c r="S81" s="459"/>
      <c r="T81" s="449"/>
      <c r="AI81" s="449"/>
    </row>
    <row r="82" spans="2:35" ht="15">
      <c r="B82" s="25" t="s">
        <v>44</v>
      </c>
      <c r="C82" s="29">
        <f aca="true" t="shared" si="41" ref="C82:I82">+C83+C105+C111+C116</f>
        <v>5916705000</v>
      </c>
      <c r="D82" s="29">
        <f t="shared" si="41"/>
        <v>0</v>
      </c>
      <c r="E82" s="29">
        <f t="shared" si="41"/>
        <v>39527960.00000003</v>
      </c>
      <c r="F82" s="29">
        <f t="shared" si="41"/>
        <v>0</v>
      </c>
      <c r="G82" s="29">
        <f>+G83+G105+G111+G116</f>
        <v>0</v>
      </c>
      <c r="H82" s="29">
        <f t="shared" si="41"/>
        <v>0</v>
      </c>
      <c r="I82" s="38">
        <f t="shared" si="41"/>
        <v>5956232960</v>
      </c>
      <c r="K82" s="427">
        <f aca="true" t="shared" si="42" ref="K82:Q82">+K83+K105+K111+K116</f>
        <v>495079821.8400001</v>
      </c>
      <c r="L82" s="29">
        <f t="shared" si="42"/>
        <v>1445345249</v>
      </c>
      <c r="M82" s="29">
        <f t="shared" si="42"/>
        <v>0</v>
      </c>
      <c r="N82" s="29">
        <f t="shared" si="42"/>
        <v>0</v>
      </c>
      <c r="O82" s="441">
        <f t="shared" si="42"/>
        <v>0</v>
      </c>
      <c r="P82" s="427">
        <f t="shared" si="42"/>
        <v>1940425070.84</v>
      </c>
      <c r="Q82" s="38">
        <f t="shared" si="42"/>
        <v>4015807889.16</v>
      </c>
      <c r="R82" s="484">
        <f t="shared" si="40"/>
        <v>0.32578058713808267</v>
      </c>
      <c r="S82" s="461">
        <v>1126176028</v>
      </c>
      <c r="T82" s="466">
        <f>+P86+P87+P89+P93+P100+P102+P110+P112+P113+P114+P115+P117-S82</f>
        <v>0</v>
      </c>
      <c r="AI82" s="449"/>
    </row>
    <row r="83" spans="2:35" ht="15">
      <c r="B83" s="42" t="s">
        <v>279</v>
      </c>
      <c r="C83" s="29">
        <f aca="true" t="shared" si="43" ref="C83:I83">SUM(C84:C104)</f>
        <v>2814830000</v>
      </c>
      <c r="D83" s="29">
        <f t="shared" si="43"/>
        <v>0</v>
      </c>
      <c r="E83" s="29">
        <f t="shared" si="43"/>
        <v>0</v>
      </c>
      <c r="F83" s="29">
        <f t="shared" si="43"/>
        <v>0</v>
      </c>
      <c r="G83" s="29">
        <f>SUM(G84:G104)</f>
        <v>0</v>
      </c>
      <c r="H83" s="29">
        <f t="shared" si="43"/>
        <v>0</v>
      </c>
      <c r="I83" s="38">
        <f t="shared" si="43"/>
        <v>2814830000</v>
      </c>
      <c r="K83" s="427">
        <f aca="true" t="shared" si="44" ref="K83:Q83">SUM(K84:K104)</f>
        <v>326967733.84000003</v>
      </c>
      <c r="L83" s="29">
        <f t="shared" si="44"/>
        <v>631093810</v>
      </c>
      <c r="M83" s="29">
        <f t="shared" si="44"/>
        <v>0</v>
      </c>
      <c r="N83" s="29">
        <f t="shared" si="44"/>
        <v>0</v>
      </c>
      <c r="O83" s="441">
        <f t="shared" si="44"/>
        <v>0</v>
      </c>
      <c r="P83" s="427">
        <f t="shared" si="44"/>
        <v>958061543.84</v>
      </c>
      <c r="Q83" s="38">
        <f t="shared" si="44"/>
        <v>1856768456.16</v>
      </c>
      <c r="R83" s="484">
        <f t="shared" si="40"/>
        <v>0.3403621333579648</v>
      </c>
      <c r="S83" s="461"/>
      <c r="T83" s="449"/>
      <c r="AI83" s="449"/>
    </row>
    <row r="84" spans="2:35" ht="15">
      <c r="B84" s="26" t="s">
        <v>280</v>
      </c>
      <c r="C84" s="41">
        <v>0</v>
      </c>
      <c r="D84" s="41"/>
      <c r="E84" s="41"/>
      <c r="F84" s="41"/>
      <c r="G84" s="41"/>
      <c r="H84" s="41"/>
      <c r="I84" s="51">
        <f aca="true" t="shared" si="45" ref="I84:I104">SUM(C84:H84)</f>
        <v>0</v>
      </c>
      <c r="K84" s="432"/>
      <c r="L84" s="41"/>
      <c r="M84" s="41"/>
      <c r="N84" s="41"/>
      <c r="O84" s="446"/>
      <c r="P84" s="423">
        <f aca="true" t="shared" si="46" ref="P84:P104">SUM(K84:O84)</f>
        <v>0</v>
      </c>
      <c r="Q84" s="51">
        <f aca="true" t="shared" si="47" ref="Q84:Q104">+I84-P84</f>
        <v>0</v>
      </c>
      <c r="R84" s="484" t="e">
        <f t="shared" si="40"/>
        <v>#DIV/0!</v>
      </c>
      <c r="S84" s="459"/>
      <c r="T84" s="449"/>
      <c r="AI84" s="449"/>
    </row>
    <row r="85" spans="2:35" ht="15">
      <c r="B85" s="26" t="s">
        <v>140</v>
      </c>
      <c r="C85" s="41">
        <v>0</v>
      </c>
      <c r="D85" s="41"/>
      <c r="E85" s="41"/>
      <c r="F85" s="41"/>
      <c r="G85" s="41"/>
      <c r="H85" s="41"/>
      <c r="I85" s="51">
        <f t="shared" si="45"/>
        <v>0</v>
      </c>
      <c r="K85" s="432"/>
      <c r="L85" s="41"/>
      <c r="M85" s="41"/>
      <c r="N85" s="41"/>
      <c r="O85" s="446"/>
      <c r="P85" s="423">
        <f t="shared" si="46"/>
        <v>0</v>
      </c>
      <c r="Q85" s="51">
        <f t="shared" si="47"/>
        <v>0</v>
      </c>
      <c r="R85" s="484" t="e">
        <f t="shared" si="40"/>
        <v>#DIV/0!</v>
      </c>
      <c r="S85" s="459"/>
      <c r="T85" s="449"/>
      <c r="AI85" s="449"/>
    </row>
    <row r="86" spans="2:35" ht="15">
      <c r="B86" s="26" t="s">
        <v>141</v>
      </c>
      <c r="C86" s="41">
        <v>54000000</v>
      </c>
      <c r="D86" s="41"/>
      <c r="E86" s="41"/>
      <c r="F86" s="41"/>
      <c r="G86" s="41"/>
      <c r="H86" s="41"/>
      <c r="I86" s="51">
        <f t="shared" si="45"/>
        <v>54000000</v>
      </c>
      <c r="K86" s="432">
        <v>49392084</v>
      </c>
      <c r="L86" s="41"/>
      <c r="M86" s="41"/>
      <c r="N86" s="41"/>
      <c r="O86" s="446"/>
      <c r="P86" s="423">
        <f t="shared" si="46"/>
        <v>49392084</v>
      </c>
      <c r="Q86" s="51">
        <f t="shared" si="47"/>
        <v>4607916</v>
      </c>
      <c r="R86" s="484">
        <f t="shared" si="40"/>
        <v>0.9146682222222222</v>
      </c>
      <c r="S86" s="459"/>
      <c r="T86" s="449"/>
      <c r="AI86" s="449"/>
    </row>
    <row r="87" spans="2:35" ht="15">
      <c r="B87" s="26" t="s">
        <v>130</v>
      </c>
      <c r="C87" s="28">
        <v>60000000</v>
      </c>
      <c r="D87" s="28"/>
      <c r="E87" s="28"/>
      <c r="F87" s="28"/>
      <c r="G87" s="28"/>
      <c r="H87" s="28"/>
      <c r="I87" s="51">
        <f t="shared" si="45"/>
        <v>60000000</v>
      </c>
      <c r="K87" s="426">
        <v>47732687.84</v>
      </c>
      <c r="L87" s="28"/>
      <c r="M87" s="28"/>
      <c r="N87" s="28"/>
      <c r="O87" s="440"/>
      <c r="P87" s="423">
        <f t="shared" si="46"/>
        <v>47732687.84</v>
      </c>
      <c r="Q87" s="51">
        <f t="shared" si="47"/>
        <v>12267312.159999996</v>
      </c>
      <c r="R87" s="484">
        <f t="shared" si="40"/>
        <v>0.7955447973333334</v>
      </c>
      <c r="S87" s="459"/>
      <c r="T87" s="449"/>
      <c r="AI87" s="449"/>
    </row>
    <row r="88" spans="2:35" ht="15">
      <c r="B88" s="26" t="s">
        <v>122</v>
      </c>
      <c r="C88" s="28">
        <v>0</v>
      </c>
      <c r="D88" s="28"/>
      <c r="E88" s="28"/>
      <c r="F88" s="28"/>
      <c r="G88" s="28"/>
      <c r="H88" s="28"/>
      <c r="I88" s="51">
        <f t="shared" si="45"/>
        <v>0</v>
      </c>
      <c r="K88" s="426"/>
      <c r="L88" s="28"/>
      <c r="M88" s="28"/>
      <c r="N88" s="28"/>
      <c r="O88" s="440"/>
      <c r="P88" s="423">
        <f t="shared" si="46"/>
        <v>0</v>
      </c>
      <c r="Q88" s="51">
        <f t="shared" si="47"/>
        <v>0</v>
      </c>
      <c r="R88" s="484" t="e">
        <f t="shared" si="40"/>
        <v>#DIV/0!</v>
      </c>
      <c r="S88" s="459"/>
      <c r="T88" s="449"/>
      <c r="AI88" s="449"/>
    </row>
    <row r="89" spans="2:35" ht="15">
      <c r="B89" s="26" t="s">
        <v>88</v>
      </c>
      <c r="C89" s="28">
        <v>286780000</v>
      </c>
      <c r="D89" s="28"/>
      <c r="E89" s="28"/>
      <c r="F89" s="28"/>
      <c r="G89" s="28"/>
      <c r="H89" s="28"/>
      <c r="I89" s="51">
        <f t="shared" si="45"/>
        <v>286780000</v>
      </c>
      <c r="K89" s="426">
        <v>136059462</v>
      </c>
      <c r="L89" s="28">
        <v>68029731</v>
      </c>
      <c r="M89" s="28"/>
      <c r="N89" s="28"/>
      <c r="O89" s="440"/>
      <c r="P89" s="423">
        <f t="shared" si="46"/>
        <v>204089193</v>
      </c>
      <c r="Q89" s="51">
        <f t="shared" si="47"/>
        <v>82690807</v>
      </c>
      <c r="R89" s="484">
        <f t="shared" si="40"/>
        <v>0.7116576923076923</v>
      </c>
      <c r="S89" s="459"/>
      <c r="T89" s="449"/>
      <c r="AI89" s="449"/>
    </row>
    <row r="90" spans="2:35" ht="15">
      <c r="B90" s="26" t="s">
        <v>143</v>
      </c>
      <c r="C90" s="28">
        <v>21000000</v>
      </c>
      <c r="D90" s="28"/>
      <c r="E90" s="28"/>
      <c r="F90" s="28"/>
      <c r="G90" s="28"/>
      <c r="H90" s="28"/>
      <c r="I90" s="51">
        <f t="shared" si="45"/>
        <v>21000000</v>
      </c>
      <c r="K90" s="426"/>
      <c r="L90" s="28"/>
      <c r="M90" s="28"/>
      <c r="N90" s="28"/>
      <c r="O90" s="440"/>
      <c r="P90" s="423">
        <f t="shared" si="46"/>
        <v>0</v>
      </c>
      <c r="Q90" s="51">
        <f t="shared" si="47"/>
        <v>21000000</v>
      </c>
      <c r="R90" s="484">
        <f t="shared" si="40"/>
        <v>0</v>
      </c>
      <c r="S90" s="459"/>
      <c r="T90" s="449"/>
      <c r="AI90" s="449"/>
    </row>
    <row r="91" spans="2:35" ht="15">
      <c r="B91" s="26" t="s">
        <v>126</v>
      </c>
      <c r="C91" s="28">
        <v>0</v>
      </c>
      <c r="D91" s="28"/>
      <c r="E91" s="28"/>
      <c r="F91" s="28"/>
      <c r="G91" s="28"/>
      <c r="H91" s="28"/>
      <c r="I91" s="51">
        <f t="shared" si="45"/>
        <v>0</v>
      </c>
      <c r="K91" s="426"/>
      <c r="L91" s="28"/>
      <c r="M91" s="28"/>
      <c r="N91" s="28"/>
      <c r="O91" s="440"/>
      <c r="P91" s="423">
        <f t="shared" si="46"/>
        <v>0</v>
      </c>
      <c r="Q91" s="51">
        <f t="shared" si="47"/>
        <v>0</v>
      </c>
      <c r="R91" s="484" t="e">
        <f t="shared" si="40"/>
        <v>#DIV/0!</v>
      </c>
      <c r="S91" s="459"/>
      <c r="T91" s="449"/>
      <c r="AI91" s="449"/>
    </row>
    <row r="92" spans="2:35" ht="15">
      <c r="B92" s="26" t="s">
        <v>294</v>
      </c>
      <c r="C92" s="28">
        <v>0</v>
      </c>
      <c r="D92" s="28"/>
      <c r="E92" s="28"/>
      <c r="F92" s="28"/>
      <c r="G92" s="28"/>
      <c r="H92" s="28"/>
      <c r="I92" s="51">
        <f t="shared" si="45"/>
        <v>0</v>
      </c>
      <c r="K92" s="426"/>
      <c r="L92" s="28"/>
      <c r="M92" s="28"/>
      <c r="N92" s="28"/>
      <c r="O92" s="440"/>
      <c r="P92" s="423">
        <f t="shared" si="46"/>
        <v>0</v>
      </c>
      <c r="Q92" s="51">
        <f t="shared" si="47"/>
        <v>0</v>
      </c>
      <c r="R92" s="484" t="e">
        <f t="shared" si="40"/>
        <v>#DIV/0!</v>
      </c>
      <c r="S92" s="459"/>
      <c r="T92" s="449"/>
      <c r="AI92" s="449"/>
    </row>
    <row r="93" spans="2:35" ht="15">
      <c r="B93" s="26" t="s">
        <v>171</v>
      </c>
      <c r="C93" s="28">
        <v>44000000</v>
      </c>
      <c r="D93" s="28"/>
      <c r="E93" s="28"/>
      <c r="F93" s="28"/>
      <c r="G93" s="28"/>
      <c r="H93" s="28"/>
      <c r="I93" s="51">
        <f t="shared" si="45"/>
        <v>44000000</v>
      </c>
      <c r="K93" s="426">
        <v>32000000</v>
      </c>
      <c r="L93" s="28"/>
      <c r="M93" s="28"/>
      <c r="N93" s="28"/>
      <c r="O93" s="440"/>
      <c r="P93" s="423">
        <f t="shared" si="46"/>
        <v>32000000</v>
      </c>
      <c r="Q93" s="51">
        <f t="shared" si="47"/>
        <v>12000000</v>
      </c>
      <c r="R93" s="484">
        <f t="shared" si="40"/>
        <v>0.7272727272727273</v>
      </c>
      <c r="S93" s="459"/>
      <c r="T93" s="449"/>
      <c r="AI93" s="449"/>
    </row>
    <row r="94" spans="2:35" ht="15">
      <c r="B94" s="26" t="s">
        <v>129</v>
      </c>
      <c r="C94" s="28">
        <v>0</v>
      </c>
      <c r="D94" s="28"/>
      <c r="E94" s="28"/>
      <c r="F94" s="28"/>
      <c r="G94" s="28"/>
      <c r="H94" s="28"/>
      <c r="I94" s="51">
        <f t="shared" si="45"/>
        <v>0</v>
      </c>
      <c r="K94" s="426"/>
      <c r="L94" s="28"/>
      <c r="M94" s="28"/>
      <c r="N94" s="28"/>
      <c r="O94" s="440"/>
      <c r="P94" s="423">
        <f t="shared" si="46"/>
        <v>0</v>
      </c>
      <c r="Q94" s="51">
        <f t="shared" si="47"/>
        <v>0</v>
      </c>
      <c r="R94" s="484" t="e">
        <f t="shared" si="40"/>
        <v>#DIV/0!</v>
      </c>
      <c r="S94" s="459"/>
      <c r="T94" s="449"/>
      <c r="AI94" s="449"/>
    </row>
    <row r="95" spans="2:35" ht="15">
      <c r="B95" s="26" t="s">
        <v>144</v>
      </c>
      <c r="C95" s="28">
        <v>0</v>
      </c>
      <c r="D95" s="28"/>
      <c r="E95" s="28"/>
      <c r="F95" s="28"/>
      <c r="G95" s="28"/>
      <c r="H95" s="28"/>
      <c r="I95" s="51">
        <f t="shared" si="45"/>
        <v>0</v>
      </c>
      <c r="K95" s="426"/>
      <c r="L95" s="28"/>
      <c r="M95" s="28"/>
      <c r="N95" s="28"/>
      <c r="O95" s="440"/>
      <c r="P95" s="423">
        <f t="shared" si="46"/>
        <v>0</v>
      </c>
      <c r="Q95" s="51">
        <f t="shared" si="47"/>
        <v>0</v>
      </c>
      <c r="R95" s="484" t="e">
        <f t="shared" si="40"/>
        <v>#DIV/0!</v>
      </c>
      <c r="S95" s="459">
        <v>4323130</v>
      </c>
      <c r="T95" s="449" t="s">
        <v>312</v>
      </c>
      <c r="U95" s="4">
        <v>1</v>
      </c>
      <c r="AI95" s="449"/>
    </row>
    <row r="96" spans="2:35" ht="15">
      <c r="B96" s="26" t="s">
        <v>127</v>
      </c>
      <c r="C96" s="28">
        <v>0</v>
      </c>
      <c r="D96" s="28"/>
      <c r="E96" s="28"/>
      <c r="F96" s="28"/>
      <c r="G96" s="28"/>
      <c r="H96" s="28"/>
      <c r="I96" s="51">
        <f t="shared" si="45"/>
        <v>0</v>
      </c>
      <c r="K96" s="426"/>
      <c r="L96" s="28"/>
      <c r="M96" s="28"/>
      <c r="N96" s="28"/>
      <c r="O96" s="440"/>
      <c r="P96" s="423">
        <f t="shared" si="46"/>
        <v>0</v>
      </c>
      <c r="Q96" s="51">
        <f t="shared" si="47"/>
        <v>0</v>
      </c>
      <c r="R96" s="484" t="e">
        <f t="shared" si="40"/>
        <v>#DIV/0!</v>
      </c>
      <c r="S96" s="459"/>
      <c r="T96" s="449"/>
      <c r="AI96" s="449"/>
    </row>
    <row r="97" spans="2:35" ht="15">
      <c r="B97" s="26" t="s">
        <v>142</v>
      </c>
      <c r="C97" s="28">
        <v>0</v>
      </c>
      <c r="D97" s="28"/>
      <c r="E97" s="28"/>
      <c r="F97" s="28"/>
      <c r="G97" s="28"/>
      <c r="H97" s="28"/>
      <c r="I97" s="51">
        <f t="shared" si="45"/>
        <v>0</v>
      </c>
      <c r="K97" s="426"/>
      <c r="L97" s="28"/>
      <c r="M97" s="28"/>
      <c r="N97" s="28"/>
      <c r="O97" s="440"/>
      <c r="P97" s="423">
        <f t="shared" si="46"/>
        <v>0</v>
      </c>
      <c r="Q97" s="51">
        <f t="shared" si="47"/>
        <v>0</v>
      </c>
      <c r="R97" s="484" t="e">
        <f t="shared" si="40"/>
        <v>#DIV/0!</v>
      </c>
      <c r="S97" s="459"/>
      <c r="T97" s="449"/>
      <c r="AI97" s="449"/>
    </row>
    <row r="98" spans="2:35" ht="15">
      <c r="B98" s="26" t="s">
        <v>131</v>
      </c>
      <c r="C98" s="28">
        <v>0</v>
      </c>
      <c r="D98" s="28"/>
      <c r="E98" s="28"/>
      <c r="F98" s="28"/>
      <c r="G98" s="28"/>
      <c r="H98" s="28"/>
      <c r="I98" s="51">
        <f t="shared" si="45"/>
        <v>0</v>
      </c>
      <c r="K98" s="426"/>
      <c r="L98" s="28"/>
      <c r="M98" s="28"/>
      <c r="N98" s="28"/>
      <c r="O98" s="440"/>
      <c r="P98" s="423">
        <f t="shared" si="46"/>
        <v>0</v>
      </c>
      <c r="Q98" s="51">
        <f t="shared" si="47"/>
        <v>0</v>
      </c>
      <c r="R98" s="484" t="e">
        <f t="shared" si="40"/>
        <v>#DIV/0!</v>
      </c>
      <c r="S98" s="459"/>
      <c r="T98" s="449"/>
      <c r="AI98" s="449"/>
    </row>
    <row r="99" spans="2:35" ht="15">
      <c r="B99" s="26" t="s">
        <v>132</v>
      </c>
      <c r="C99" s="28">
        <v>0</v>
      </c>
      <c r="D99" s="28"/>
      <c r="E99" s="28"/>
      <c r="F99" s="28"/>
      <c r="G99" s="28"/>
      <c r="H99" s="28"/>
      <c r="I99" s="51">
        <f t="shared" si="45"/>
        <v>0</v>
      </c>
      <c r="K99" s="426"/>
      <c r="L99" s="28"/>
      <c r="M99" s="28"/>
      <c r="N99" s="28"/>
      <c r="O99" s="440"/>
      <c r="P99" s="423">
        <f t="shared" si="46"/>
        <v>0</v>
      </c>
      <c r="Q99" s="51">
        <f t="shared" si="47"/>
        <v>0</v>
      </c>
      <c r="R99" s="484" t="e">
        <f t="shared" si="40"/>
        <v>#DIV/0!</v>
      </c>
      <c r="S99" s="459"/>
      <c r="T99" s="449"/>
      <c r="AI99" s="449"/>
    </row>
    <row r="100" spans="2:35" ht="15">
      <c r="B100" s="26" t="s">
        <v>281</v>
      </c>
      <c r="C100" s="28">
        <v>60000000</v>
      </c>
      <c r="D100" s="28"/>
      <c r="E100" s="28"/>
      <c r="F100" s="28"/>
      <c r="G100" s="28"/>
      <c r="H100" s="28"/>
      <c r="I100" s="51">
        <f t="shared" si="45"/>
        <v>60000000</v>
      </c>
      <c r="K100" s="426">
        <v>30000000</v>
      </c>
      <c r="L100" s="28"/>
      <c r="M100" s="28"/>
      <c r="N100" s="28"/>
      <c r="O100" s="440"/>
      <c r="P100" s="423">
        <f t="shared" si="46"/>
        <v>30000000</v>
      </c>
      <c r="Q100" s="51">
        <f t="shared" si="47"/>
        <v>30000000</v>
      </c>
      <c r="R100" s="484">
        <f t="shared" si="40"/>
        <v>0.5</v>
      </c>
      <c r="S100" s="459"/>
      <c r="T100" s="449"/>
      <c r="AI100" s="449"/>
    </row>
    <row r="101" spans="2:35" ht="15">
      <c r="B101" s="26" t="s">
        <v>282</v>
      </c>
      <c r="C101" s="28">
        <v>40000000</v>
      </c>
      <c r="D101" s="28"/>
      <c r="E101" s="28"/>
      <c r="F101" s="28">
        <v>0</v>
      </c>
      <c r="G101" s="28"/>
      <c r="H101" s="28"/>
      <c r="I101" s="51">
        <f t="shared" si="45"/>
        <v>40000000</v>
      </c>
      <c r="K101" s="426">
        <v>31783500</v>
      </c>
      <c r="L101" s="28">
        <v>5251579</v>
      </c>
      <c r="M101" s="28"/>
      <c r="N101" s="28"/>
      <c r="O101" s="440"/>
      <c r="P101" s="423">
        <f>SUM(K101:O101)</f>
        <v>37035079</v>
      </c>
      <c r="Q101" s="51">
        <f t="shared" si="47"/>
        <v>2964921</v>
      </c>
      <c r="R101" s="484">
        <f t="shared" si="40"/>
        <v>0.925876975</v>
      </c>
      <c r="S101" s="459"/>
      <c r="T101" s="449"/>
      <c r="AI101" s="449"/>
    </row>
    <row r="102" spans="2:35" ht="15">
      <c r="B102" s="26" t="s">
        <v>283</v>
      </c>
      <c r="C102" s="28">
        <v>2231250000</v>
      </c>
      <c r="D102" s="28"/>
      <c r="E102" s="28"/>
      <c r="F102" s="28"/>
      <c r="G102" s="28"/>
      <c r="H102" s="28"/>
      <c r="I102" s="51">
        <f t="shared" si="45"/>
        <v>2231250000</v>
      </c>
      <c r="K102" s="426"/>
      <c r="L102" s="28">
        <v>557812500</v>
      </c>
      <c r="M102" s="28"/>
      <c r="N102" s="28"/>
      <c r="O102" s="440"/>
      <c r="P102" s="423">
        <f t="shared" si="46"/>
        <v>557812500</v>
      </c>
      <c r="Q102" s="51">
        <f t="shared" si="47"/>
        <v>1673437500</v>
      </c>
      <c r="R102" s="484">
        <f t="shared" si="40"/>
        <v>0.25</v>
      </c>
      <c r="S102" s="459"/>
      <c r="T102" s="449"/>
      <c r="AI102" s="449"/>
    </row>
    <row r="103" spans="2:35" ht="15">
      <c r="B103" s="26" t="s">
        <v>284</v>
      </c>
      <c r="C103" s="28">
        <v>4800000</v>
      </c>
      <c r="D103" s="28"/>
      <c r="E103" s="28"/>
      <c r="F103" s="28"/>
      <c r="G103" s="28"/>
      <c r="H103" s="28"/>
      <c r="I103" s="51">
        <f t="shared" si="45"/>
        <v>4800000</v>
      </c>
      <c r="K103" s="426"/>
      <c r="L103" s="28"/>
      <c r="M103" s="28"/>
      <c r="N103" s="28"/>
      <c r="O103" s="440"/>
      <c r="P103" s="423">
        <f t="shared" si="46"/>
        <v>0</v>
      </c>
      <c r="Q103" s="51">
        <f t="shared" si="47"/>
        <v>4800000</v>
      </c>
      <c r="R103" s="484">
        <f t="shared" si="40"/>
        <v>0</v>
      </c>
      <c r="S103" s="459"/>
      <c r="T103" s="449"/>
      <c r="AI103" s="449"/>
    </row>
    <row r="104" spans="2:35" ht="15">
      <c r="B104" s="26" t="s">
        <v>285</v>
      </c>
      <c r="C104" s="28">
        <v>13000000</v>
      </c>
      <c r="D104" s="28"/>
      <c r="E104" s="28"/>
      <c r="F104" s="28"/>
      <c r="G104" s="28"/>
      <c r="H104" s="28"/>
      <c r="I104" s="51">
        <f t="shared" si="45"/>
        <v>13000000</v>
      </c>
      <c r="K104" s="426"/>
      <c r="L104" s="28"/>
      <c r="M104" s="28"/>
      <c r="N104" s="28"/>
      <c r="O104" s="440"/>
      <c r="P104" s="423">
        <f t="shared" si="46"/>
        <v>0</v>
      </c>
      <c r="Q104" s="51">
        <f t="shared" si="47"/>
        <v>13000000</v>
      </c>
      <c r="R104" s="484">
        <f t="shared" si="40"/>
        <v>0</v>
      </c>
      <c r="S104" s="459"/>
      <c r="T104" s="449"/>
      <c r="AI104" s="449"/>
    </row>
    <row r="105" spans="2:35" ht="15">
      <c r="B105" s="42" t="s">
        <v>286</v>
      </c>
      <c r="C105" s="29">
        <f aca="true" t="shared" si="48" ref="C105:I105">SUM(C106:C110)</f>
        <v>2553030000</v>
      </c>
      <c r="D105" s="29">
        <f t="shared" si="48"/>
        <v>0</v>
      </c>
      <c r="E105" s="29">
        <f t="shared" si="48"/>
        <v>26071600</v>
      </c>
      <c r="F105" s="29">
        <f t="shared" si="48"/>
        <v>0</v>
      </c>
      <c r="G105" s="29">
        <f>SUM(G106:G110)</f>
        <v>0</v>
      </c>
      <c r="H105" s="29">
        <f t="shared" si="48"/>
        <v>0</v>
      </c>
      <c r="I105" s="38">
        <f t="shared" si="48"/>
        <v>2579101600</v>
      </c>
      <c r="K105" s="427">
        <f aca="true" t="shared" si="49" ref="K105:Q105">SUM(K106:K110)</f>
        <v>130331195.84</v>
      </c>
      <c r="L105" s="29">
        <f t="shared" si="49"/>
        <v>656882768</v>
      </c>
      <c r="M105" s="29">
        <f t="shared" si="49"/>
        <v>0</v>
      </c>
      <c r="N105" s="29">
        <f t="shared" si="49"/>
        <v>0</v>
      </c>
      <c r="O105" s="441">
        <f t="shared" si="49"/>
        <v>0</v>
      </c>
      <c r="P105" s="427">
        <f t="shared" si="49"/>
        <v>787213963.8399999</v>
      </c>
      <c r="Q105" s="38">
        <f t="shared" si="49"/>
        <v>1791887636.1599998</v>
      </c>
      <c r="R105" s="484">
        <f t="shared" si="40"/>
        <v>0.30522797699788173</v>
      </c>
      <c r="S105" s="461"/>
      <c r="T105" s="449"/>
      <c r="AI105" s="449"/>
    </row>
    <row r="106" spans="2:35" ht="15">
      <c r="B106" s="26" t="s">
        <v>72</v>
      </c>
      <c r="C106" s="28">
        <v>1839000000</v>
      </c>
      <c r="D106" s="28"/>
      <c r="E106" s="28">
        <v>12764000</v>
      </c>
      <c r="F106" s="28"/>
      <c r="G106" s="28"/>
      <c r="H106" s="28"/>
      <c r="I106" s="51">
        <f>SUM(C106:H106)</f>
        <v>1851764000</v>
      </c>
      <c r="K106" s="426">
        <v>37399998.67</v>
      </c>
      <c r="L106" s="28">
        <v>481850001</v>
      </c>
      <c r="M106" s="28"/>
      <c r="N106" s="28"/>
      <c r="O106" s="440"/>
      <c r="P106" s="423">
        <f>SUM(K106:O106)</f>
        <v>519249999.67</v>
      </c>
      <c r="Q106" s="51">
        <f>+I106-P106</f>
        <v>1332514000.33</v>
      </c>
      <c r="R106" s="484">
        <f t="shared" si="40"/>
        <v>0.2804083023916655</v>
      </c>
      <c r="S106" s="459">
        <v>519250000</v>
      </c>
      <c r="T106" s="449"/>
      <c r="AI106" s="449"/>
    </row>
    <row r="107" spans="2:35" ht="15">
      <c r="B107" s="26" t="s">
        <v>73</v>
      </c>
      <c r="C107" s="28">
        <v>200000000</v>
      </c>
      <c r="D107" s="28"/>
      <c r="E107" s="28">
        <v>0</v>
      </c>
      <c r="F107" s="28"/>
      <c r="G107" s="28"/>
      <c r="H107" s="28"/>
      <c r="I107" s="51">
        <f>SUM(C107:H107)</f>
        <v>200000000</v>
      </c>
      <c r="K107" s="426">
        <v>18181817.22</v>
      </c>
      <c r="L107" s="28">
        <v>60606060</v>
      </c>
      <c r="M107" s="28"/>
      <c r="N107" s="28"/>
      <c r="O107" s="440"/>
      <c r="P107" s="423">
        <f>SUM(K107:O107)</f>
        <v>78787877.22</v>
      </c>
      <c r="Q107" s="51">
        <f>+I107-P107</f>
        <v>121212122.78</v>
      </c>
      <c r="R107" s="484">
        <f t="shared" si="40"/>
        <v>0.3939393861</v>
      </c>
      <c r="S107" s="459">
        <v>78787877</v>
      </c>
      <c r="T107" s="449"/>
      <c r="AI107" s="449"/>
    </row>
    <row r="108" spans="2:35" ht="15">
      <c r="B108" s="26" t="s">
        <v>74</v>
      </c>
      <c r="C108" s="28">
        <v>424030000</v>
      </c>
      <c r="D108" s="28"/>
      <c r="E108" s="28">
        <v>13307600</v>
      </c>
      <c r="F108" s="28"/>
      <c r="G108" s="28"/>
      <c r="H108" s="28"/>
      <c r="I108" s="51">
        <f>SUM(C108:H108)</f>
        <v>437337600</v>
      </c>
      <c r="K108" s="426">
        <v>74749379.95</v>
      </c>
      <c r="L108" s="28">
        <v>104426707</v>
      </c>
      <c r="M108" s="28"/>
      <c r="N108" s="28"/>
      <c r="O108" s="440"/>
      <c r="P108" s="423">
        <f>SUM(K108:O108)</f>
        <v>179176086.95</v>
      </c>
      <c r="Q108" s="51">
        <f>+I108-P108</f>
        <v>258161513.05</v>
      </c>
      <c r="R108" s="484">
        <f t="shared" si="40"/>
        <v>0.40969742128278014</v>
      </c>
      <c r="S108" s="459">
        <v>179176087</v>
      </c>
      <c r="T108" s="449"/>
      <c r="AI108" s="449"/>
    </row>
    <row r="109" spans="2:35" ht="15">
      <c r="B109" s="26" t="s">
        <v>287</v>
      </c>
      <c r="C109" s="28">
        <v>60000000</v>
      </c>
      <c r="D109" s="28"/>
      <c r="E109" s="28"/>
      <c r="F109" s="28"/>
      <c r="G109" s="28"/>
      <c r="H109" s="28"/>
      <c r="I109" s="51">
        <f>SUM(C109:H109)</f>
        <v>60000000</v>
      </c>
      <c r="K109" s="426"/>
      <c r="L109" s="28">
        <v>0</v>
      </c>
      <c r="M109" s="28"/>
      <c r="N109" s="28"/>
      <c r="O109" s="440"/>
      <c r="P109" s="423">
        <f>SUM(K109:O109)</f>
        <v>0</v>
      </c>
      <c r="Q109" s="51">
        <f>+I109-P109</f>
        <v>60000000</v>
      </c>
      <c r="R109" s="484">
        <f t="shared" si="40"/>
        <v>0</v>
      </c>
      <c r="S109" s="459"/>
      <c r="T109" s="449"/>
      <c r="AI109" s="449"/>
    </row>
    <row r="110" spans="2:35" ht="15">
      <c r="B110" s="26" t="s">
        <v>288</v>
      </c>
      <c r="C110" s="28">
        <v>30000000</v>
      </c>
      <c r="D110" s="28"/>
      <c r="E110" s="28"/>
      <c r="F110" s="28"/>
      <c r="G110" s="28"/>
      <c r="H110" s="28"/>
      <c r="I110" s="51">
        <f>SUM(C110:H110)</f>
        <v>30000000</v>
      </c>
      <c r="K110" s="426"/>
      <c r="L110" s="28">
        <v>10000000</v>
      </c>
      <c r="M110" s="28"/>
      <c r="N110" s="28"/>
      <c r="O110" s="440"/>
      <c r="P110" s="423">
        <f>SUM(K110:O110)</f>
        <v>10000000</v>
      </c>
      <c r="Q110" s="51">
        <f>+I110-P110</f>
        <v>20000000</v>
      </c>
      <c r="R110" s="484">
        <f t="shared" si="40"/>
        <v>0.3333333333333333</v>
      </c>
      <c r="S110" s="459"/>
      <c r="T110" s="449"/>
      <c r="AI110" s="449"/>
    </row>
    <row r="111" spans="2:35" ht="15">
      <c r="B111" s="42" t="s">
        <v>244</v>
      </c>
      <c r="C111" s="29">
        <f aca="true" t="shared" si="50" ref="C111:I111">SUM(C112:C115)</f>
        <v>416845000</v>
      </c>
      <c r="D111" s="29">
        <f t="shared" si="50"/>
        <v>0</v>
      </c>
      <c r="E111" s="29">
        <f t="shared" si="50"/>
        <v>13456360.00000003</v>
      </c>
      <c r="F111" s="29">
        <f t="shared" si="50"/>
        <v>0</v>
      </c>
      <c r="G111" s="29">
        <f>SUM(G112:G115)</f>
        <v>0</v>
      </c>
      <c r="H111" s="29">
        <f t="shared" si="50"/>
        <v>0</v>
      </c>
      <c r="I111" s="38">
        <f t="shared" si="50"/>
        <v>430301360</v>
      </c>
      <c r="K111" s="427">
        <f aca="true" t="shared" si="51" ref="K111:Q111">SUM(K112:K115)</f>
        <v>37780892.160000004</v>
      </c>
      <c r="L111" s="29">
        <f t="shared" si="51"/>
        <v>124368671</v>
      </c>
      <c r="M111" s="29">
        <f t="shared" si="51"/>
        <v>0</v>
      </c>
      <c r="N111" s="29">
        <f t="shared" si="51"/>
        <v>0</v>
      </c>
      <c r="O111" s="441">
        <f t="shared" si="51"/>
        <v>0</v>
      </c>
      <c r="P111" s="427">
        <f t="shared" si="51"/>
        <v>162149563.16</v>
      </c>
      <c r="Q111" s="38">
        <f t="shared" si="51"/>
        <v>268151796.84</v>
      </c>
      <c r="R111" s="484">
        <f t="shared" si="40"/>
        <v>0.37682791232637514</v>
      </c>
      <c r="S111" s="461"/>
      <c r="T111" s="449"/>
      <c r="AI111" s="449"/>
    </row>
    <row r="112" spans="2:35" ht="15">
      <c r="B112" s="26" t="s">
        <v>245</v>
      </c>
      <c r="C112" s="41">
        <v>218844999.99999997</v>
      </c>
      <c r="D112" s="41"/>
      <c r="E112" s="41">
        <v>7840360.00000003</v>
      </c>
      <c r="F112" s="41"/>
      <c r="G112" s="41"/>
      <c r="H112" s="41"/>
      <c r="I112" s="51">
        <f>SUM(C112:H112)</f>
        <v>226685360</v>
      </c>
      <c r="K112" s="432">
        <f>37780891.56+0.6</f>
        <v>37780892.160000004</v>
      </c>
      <c r="L112" s="41">
        <v>56671338</v>
      </c>
      <c r="M112" s="41"/>
      <c r="N112" s="41"/>
      <c r="O112" s="446"/>
      <c r="P112" s="423">
        <f>SUM(K112:O112)</f>
        <v>94452230.16</v>
      </c>
      <c r="Q112" s="51">
        <f>+I112-P112</f>
        <v>132233129.84</v>
      </c>
      <c r="R112" s="484">
        <f t="shared" si="40"/>
        <v>0.41666665266782116</v>
      </c>
      <c r="S112" s="459"/>
      <c r="T112" s="449"/>
      <c r="AI112" s="449"/>
    </row>
    <row r="113" spans="2:35" ht="15">
      <c r="B113" s="26" t="s">
        <v>290</v>
      </c>
      <c r="C113" s="41">
        <v>66000000</v>
      </c>
      <c r="D113" s="41"/>
      <c r="E113" s="41">
        <v>1872000</v>
      </c>
      <c r="F113" s="41"/>
      <c r="G113" s="41"/>
      <c r="H113" s="41"/>
      <c r="I113" s="51">
        <f>SUM(C113:H113)</f>
        <v>67872000</v>
      </c>
      <c r="K113" s="432"/>
      <c r="L113" s="41">
        <v>22573333</v>
      </c>
      <c r="M113" s="41"/>
      <c r="N113" s="41"/>
      <c r="O113" s="446"/>
      <c r="P113" s="423">
        <f>SUM(K113:O113)</f>
        <v>22573333</v>
      </c>
      <c r="Q113" s="51">
        <f>+I113-P113</f>
        <v>45298667</v>
      </c>
      <c r="R113" s="484">
        <f t="shared" si="40"/>
        <v>0.3325868252003772</v>
      </c>
      <c r="S113" s="459"/>
      <c r="T113" s="449"/>
      <c r="AI113" s="449"/>
    </row>
    <row r="114" spans="2:35" ht="15">
      <c r="B114" s="26" t="s">
        <v>289</v>
      </c>
      <c r="C114" s="41">
        <v>66000000</v>
      </c>
      <c r="D114" s="41"/>
      <c r="E114" s="41">
        <v>1872000</v>
      </c>
      <c r="F114" s="41"/>
      <c r="G114" s="41"/>
      <c r="H114" s="41"/>
      <c r="I114" s="51">
        <f>SUM(C114:H114)</f>
        <v>67872000</v>
      </c>
      <c r="K114" s="432"/>
      <c r="L114" s="41">
        <v>22624000</v>
      </c>
      <c r="M114" s="41"/>
      <c r="N114" s="41"/>
      <c r="O114" s="446"/>
      <c r="P114" s="423">
        <f>SUM(K114:O114)</f>
        <v>22624000</v>
      </c>
      <c r="Q114" s="51">
        <f>+I114-P114</f>
        <v>45248000</v>
      </c>
      <c r="R114" s="484">
        <f t="shared" si="40"/>
        <v>0.3333333333333333</v>
      </c>
      <c r="S114" s="459"/>
      <c r="T114" s="449"/>
      <c r="AI114" s="449"/>
    </row>
    <row r="115" spans="2:35" ht="15">
      <c r="B115" s="26" t="s">
        <v>291</v>
      </c>
      <c r="C115" s="41">
        <v>66000000</v>
      </c>
      <c r="D115" s="41"/>
      <c r="E115" s="41">
        <v>1872000</v>
      </c>
      <c r="F115" s="41"/>
      <c r="G115" s="41"/>
      <c r="H115" s="41"/>
      <c r="I115" s="51">
        <f>SUM(C115:H115)</f>
        <v>67872000</v>
      </c>
      <c r="K115" s="432"/>
      <c r="L115" s="41">
        <v>22500000</v>
      </c>
      <c r="M115" s="41"/>
      <c r="N115" s="41"/>
      <c r="O115" s="446"/>
      <c r="P115" s="423">
        <f>SUM(K115:O115)</f>
        <v>22500000</v>
      </c>
      <c r="Q115" s="51">
        <f>+I115-P115</f>
        <v>45372000</v>
      </c>
      <c r="R115" s="484">
        <f t="shared" si="40"/>
        <v>0.33150636492220653</v>
      </c>
      <c r="S115" s="459"/>
      <c r="T115" s="449"/>
      <c r="AI115" s="449"/>
    </row>
    <row r="116" spans="2:35" ht="15">
      <c r="B116" s="42" t="s">
        <v>292</v>
      </c>
      <c r="C116" s="29">
        <f aca="true" t="shared" si="52" ref="C116:I116">+C117</f>
        <v>132000000</v>
      </c>
      <c r="D116" s="29">
        <f t="shared" si="52"/>
        <v>0</v>
      </c>
      <c r="E116" s="29">
        <f t="shared" si="52"/>
        <v>0</v>
      </c>
      <c r="F116" s="29">
        <f t="shared" si="52"/>
        <v>0</v>
      </c>
      <c r="G116" s="29">
        <f t="shared" si="52"/>
        <v>0</v>
      </c>
      <c r="H116" s="29">
        <f t="shared" si="52"/>
        <v>0</v>
      </c>
      <c r="I116" s="38">
        <f t="shared" si="52"/>
        <v>132000000</v>
      </c>
      <c r="K116" s="427">
        <f aca="true" t="shared" si="53" ref="K116:Q116">+K117</f>
        <v>0</v>
      </c>
      <c r="L116" s="29">
        <f t="shared" si="53"/>
        <v>33000000</v>
      </c>
      <c r="M116" s="29">
        <f t="shared" si="53"/>
        <v>0</v>
      </c>
      <c r="N116" s="29">
        <f t="shared" si="53"/>
        <v>0</v>
      </c>
      <c r="O116" s="441">
        <f t="shared" si="53"/>
        <v>0</v>
      </c>
      <c r="P116" s="427">
        <f t="shared" si="53"/>
        <v>33000000</v>
      </c>
      <c r="Q116" s="38">
        <f t="shared" si="53"/>
        <v>99000000</v>
      </c>
      <c r="R116" s="484">
        <f t="shared" si="40"/>
        <v>0.25</v>
      </c>
      <c r="S116" s="461"/>
      <c r="T116" s="449"/>
      <c r="AI116" s="449"/>
    </row>
    <row r="117" spans="2:35" ht="15.75" thickBot="1">
      <c r="B117" s="26" t="s">
        <v>293</v>
      </c>
      <c r="C117" s="41">
        <v>132000000</v>
      </c>
      <c r="D117" s="41"/>
      <c r="E117" s="41"/>
      <c r="F117" s="41"/>
      <c r="G117" s="41"/>
      <c r="H117" s="41"/>
      <c r="I117" s="51">
        <f>SUM(C117:H117)</f>
        <v>132000000</v>
      </c>
      <c r="K117" s="432"/>
      <c r="L117" s="41">
        <v>33000000</v>
      </c>
      <c r="M117" s="41"/>
      <c r="N117" s="41"/>
      <c r="O117" s="446"/>
      <c r="P117" s="423">
        <f>SUM(K117:O117)</f>
        <v>33000000</v>
      </c>
      <c r="Q117" s="51">
        <f>+I117-P117</f>
        <v>99000000</v>
      </c>
      <c r="R117" s="484">
        <f t="shared" si="40"/>
        <v>0.25</v>
      </c>
      <c r="S117" s="459"/>
      <c r="T117" s="449"/>
      <c r="AI117" s="449"/>
    </row>
    <row r="118" spans="2:35" ht="15">
      <c r="B118" s="43" t="s">
        <v>114</v>
      </c>
      <c r="C118" s="44">
        <f aca="true" t="shared" si="54" ref="C118:I118">+C51+C20+C49</f>
        <v>15084303053.725054</v>
      </c>
      <c r="D118" s="44">
        <f t="shared" si="54"/>
        <v>0</v>
      </c>
      <c r="E118" s="44">
        <f t="shared" si="54"/>
        <v>355168908.99685335</v>
      </c>
      <c r="F118" s="44">
        <f t="shared" si="54"/>
        <v>0</v>
      </c>
      <c r="G118" s="44">
        <f>+G51+G20+G49</f>
        <v>150000000</v>
      </c>
      <c r="H118" s="44">
        <f t="shared" si="54"/>
        <v>-106750000</v>
      </c>
      <c r="I118" s="45">
        <f t="shared" si="54"/>
        <v>15482721962.721909</v>
      </c>
      <c r="K118" s="433">
        <f aca="true" t="shared" si="55" ref="K118:Q118">+K51+K20+K49</f>
        <v>2580175907.16</v>
      </c>
      <c r="L118" s="44">
        <f t="shared" si="55"/>
        <v>3759738034.6899996</v>
      </c>
      <c r="M118" s="44">
        <f t="shared" si="55"/>
        <v>0</v>
      </c>
      <c r="N118" s="44">
        <f t="shared" si="55"/>
        <v>0</v>
      </c>
      <c r="O118" s="447">
        <f t="shared" si="55"/>
        <v>0</v>
      </c>
      <c r="P118" s="433">
        <f t="shared" si="55"/>
        <v>6339913941.849999</v>
      </c>
      <c r="Q118" s="45">
        <f t="shared" si="55"/>
        <v>9142794324.271908</v>
      </c>
      <c r="R118" s="484">
        <f t="shared" si="40"/>
        <v>0.40948316175377625</v>
      </c>
      <c r="S118" s="464">
        <v>5941577568</v>
      </c>
      <c r="T118" s="449"/>
      <c r="AI118" s="449"/>
    </row>
    <row r="119" spans="2:35" ht="15">
      <c r="B119" s="46" t="s">
        <v>45</v>
      </c>
      <c r="C119" s="29">
        <f aca="true" t="shared" si="56" ref="C119:I119">+C18-C118</f>
        <v>1510573544.8000336</v>
      </c>
      <c r="D119" s="29">
        <f t="shared" si="56"/>
        <v>6568137379.98774</v>
      </c>
      <c r="E119" s="29">
        <f t="shared" si="56"/>
        <v>-355168908.99685335</v>
      </c>
      <c r="F119" s="29">
        <f t="shared" si="56"/>
        <v>0</v>
      </c>
      <c r="G119" s="29">
        <f>+G18-G118</f>
        <v>2121300000</v>
      </c>
      <c r="H119" s="29">
        <f t="shared" si="56"/>
        <v>106750000</v>
      </c>
      <c r="I119" s="38">
        <f t="shared" si="56"/>
        <v>9951592015.79092</v>
      </c>
      <c r="K119" s="427">
        <f aca="true" t="shared" si="57" ref="K119:Q119">+K18-K118</f>
        <v>963529196.8400002</v>
      </c>
      <c r="L119" s="29">
        <f t="shared" si="57"/>
        <v>0.3000001907348633</v>
      </c>
      <c r="M119" s="29">
        <f t="shared" si="57"/>
        <v>0</v>
      </c>
      <c r="N119" s="29">
        <f t="shared" si="57"/>
        <v>0</v>
      </c>
      <c r="O119" s="441">
        <f t="shared" si="57"/>
        <v>0</v>
      </c>
      <c r="P119" s="427">
        <f t="shared" si="57"/>
        <v>963529197.1400003</v>
      </c>
      <c r="Q119" s="38">
        <f t="shared" si="57"/>
        <v>8988076515.25092</v>
      </c>
      <c r="S119" s="461"/>
      <c r="T119" s="449"/>
      <c r="AI119" s="449"/>
    </row>
    <row r="120" spans="2:35" ht="15.75" thickBot="1">
      <c r="B120" s="47" t="s">
        <v>46</v>
      </c>
      <c r="C120" s="48">
        <f aca="true" t="shared" si="58" ref="C120:I120">SUM(C118:C119)</f>
        <v>16594876598.525087</v>
      </c>
      <c r="D120" s="48">
        <f t="shared" si="58"/>
        <v>6568137379.98774</v>
      </c>
      <c r="E120" s="48">
        <f t="shared" si="58"/>
        <v>0</v>
      </c>
      <c r="F120" s="48">
        <f t="shared" si="58"/>
        <v>0</v>
      </c>
      <c r="G120" s="48">
        <f>SUM(G118:G119)</f>
        <v>2271300000</v>
      </c>
      <c r="H120" s="48">
        <f t="shared" si="58"/>
        <v>0</v>
      </c>
      <c r="I120" s="49">
        <f t="shared" si="58"/>
        <v>25434313978.51283</v>
      </c>
      <c r="K120" s="434">
        <f aca="true" t="shared" si="59" ref="K120:Q120">SUM(K118:K119)</f>
        <v>3543705104</v>
      </c>
      <c r="L120" s="48">
        <f t="shared" si="59"/>
        <v>3759738034.99</v>
      </c>
      <c r="M120" s="48">
        <f t="shared" si="59"/>
        <v>0</v>
      </c>
      <c r="N120" s="48">
        <f t="shared" si="59"/>
        <v>0</v>
      </c>
      <c r="O120" s="448">
        <f t="shared" si="59"/>
        <v>0</v>
      </c>
      <c r="P120" s="434">
        <f t="shared" si="59"/>
        <v>7303443138.99</v>
      </c>
      <c r="Q120" s="49">
        <f t="shared" si="59"/>
        <v>18130870839.522827</v>
      </c>
      <c r="S120" s="465"/>
      <c r="T120" s="449"/>
      <c r="AI120" s="449"/>
    </row>
    <row r="121" spans="2:35" ht="15">
      <c r="B121" s="4" t="s">
        <v>47</v>
      </c>
      <c r="C121" s="3">
        <f aca="true" t="shared" si="60" ref="C121:I121">+C18-C120</f>
        <v>0</v>
      </c>
      <c r="D121" s="3">
        <f t="shared" si="60"/>
        <v>0</v>
      </c>
      <c r="E121" s="3">
        <f t="shared" si="60"/>
        <v>0</v>
      </c>
      <c r="F121" s="3">
        <f t="shared" si="60"/>
        <v>0</v>
      </c>
      <c r="G121" s="3">
        <f>+G18-G120</f>
        <v>0</v>
      </c>
      <c r="H121" s="3">
        <f t="shared" si="60"/>
        <v>0</v>
      </c>
      <c r="I121" s="3">
        <f t="shared" si="60"/>
        <v>0</v>
      </c>
      <c r="K121" s="3">
        <f aca="true" t="shared" si="61" ref="K121:Q121">+K18-K120</f>
        <v>0</v>
      </c>
      <c r="L121" s="3">
        <f t="shared" si="61"/>
        <v>0</v>
      </c>
      <c r="M121" s="3">
        <f t="shared" si="61"/>
        <v>0</v>
      </c>
      <c r="N121" s="3">
        <f t="shared" si="61"/>
        <v>0</v>
      </c>
      <c r="O121" s="3">
        <f t="shared" si="61"/>
        <v>0</v>
      </c>
      <c r="P121" s="3">
        <f t="shared" si="61"/>
        <v>0</v>
      </c>
      <c r="Q121" s="3">
        <f t="shared" si="61"/>
        <v>0</v>
      </c>
      <c r="AI121" s="449"/>
    </row>
    <row r="122" spans="2:35" ht="15">
      <c r="B122" s="50"/>
      <c r="R122" s="456" t="s">
        <v>313</v>
      </c>
      <c r="S122" s="3">
        <f>+S118</f>
        <v>5941577568</v>
      </c>
      <c r="AI122" s="449"/>
    </row>
    <row r="123" spans="2:19" ht="15">
      <c r="B123" s="50"/>
      <c r="R123" s="456" t="s">
        <v>314</v>
      </c>
      <c r="S123" s="3">
        <v>-104949413</v>
      </c>
    </row>
    <row r="124" spans="18:19" ht="15">
      <c r="R124" s="456" t="s">
        <v>315</v>
      </c>
      <c r="S124" s="467">
        <v>307632690</v>
      </c>
    </row>
    <row r="125" spans="1:243" ht="15">
      <c r="A125" s="417"/>
      <c r="B125" s="417"/>
      <c r="C125" s="418"/>
      <c r="D125" s="418"/>
      <c r="E125" s="418"/>
      <c r="F125" s="418"/>
      <c r="G125" s="418"/>
      <c r="H125" s="418"/>
      <c r="I125" s="418"/>
      <c r="J125" s="417"/>
      <c r="K125" s="418"/>
      <c r="L125" s="418"/>
      <c r="M125" s="418"/>
      <c r="N125" s="418"/>
      <c r="O125" s="418"/>
      <c r="P125" s="418"/>
      <c r="Q125" s="418"/>
      <c r="R125" s="456" t="s">
        <v>317</v>
      </c>
      <c r="S125" s="3">
        <f>SUM(S122:S124)</f>
        <v>6144260845</v>
      </c>
      <c r="T125" s="417"/>
      <c r="U125" s="417"/>
      <c r="V125" s="417"/>
      <c r="W125" s="417"/>
      <c r="X125" s="417"/>
      <c r="AA125" s="417"/>
      <c r="AB125" s="417"/>
      <c r="AC125" s="417"/>
      <c r="AD125" s="417"/>
      <c r="AE125" s="417"/>
      <c r="AF125" s="417"/>
      <c r="AG125" s="417"/>
      <c r="AH125" s="417"/>
      <c r="AI125" s="417"/>
      <c r="AJ125" s="417"/>
      <c r="AK125" s="417"/>
      <c r="AL125" s="417"/>
      <c r="AM125" s="417"/>
      <c r="AN125" s="417"/>
      <c r="AO125" s="417"/>
      <c r="AP125" s="417"/>
      <c r="AQ125" s="417"/>
      <c r="AR125" s="417"/>
      <c r="AS125" s="417"/>
      <c r="AT125" s="417"/>
      <c r="AU125" s="417"/>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417"/>
      <c r="BR125" s="417"/>
      <c r="BS125" s="417"/>
      <c r="BT125" s="417"/>
      <c r="BU125" s="417"/>
      <c r="BV125" s="417"/>
      <c r="BW125" s="417"/>
      <c r="BX125" s="417"/>
      <c r="BY125" s="417"/>
      <c r="BZ125" s="417"/>
      <c r="CA125" s="417"/>
      <c r="CB125" s="417"/>
      <c r="CC125" s="417"/>
      <c r="CD125" s="417"/>
      <c r="CE125" s="417"/>
      <c r="CF125" s="417"/>
      <c r="CG125" s="417"/>
      <c r="CH125" s="417"/>
      <c r="CI125" s="417"/>
      <c r="CJ125" s="417"/>
      <c r="CK125" s="417"/>
      <c r="CL125" s="417"/>
      <c r="CM125" s="417"/>
      <c r="CN125" s="417"/>
      <c r="CO125" s="417"/>
      <c r="CP125" s="417"/>
      <c r="CQ125" s="417"/>
      <c r="CR125" s="417"/>
      <c r="CS125" s="417"/>
      <c r="CT125" s="417"/>
      <c r="CU125" s="417"/>
      <c r="CV125" s="417"/>
      <c r="CW125" s="417"/>
      <c r="CX125" s="417"/>
      <c r="CY125" s="417"/>
      <c r="CZ125" s="417"/>
      <c r="DA125" s="417"/>
      <c r="DB125" s="417"/>
      <c r="DC125" s="417"/>
      <c r="DD125" s="417"/>
      <c r="DE125" s="417"/>
      <c r="DF125" s="417"/>
      <c r="DG125" s="417"/>
      <c r="DH125" s="417"/>
      <c r="DI125" s="417"/>
      <c r="DJ125" s="417"/>
      <c r="DK125" s="417"/>
      <c r="DL125" s="417"/>
      <c r="DM125" s="417"/>
      <c r="DN125" s="417"/>
      <c r="DO125" s="417"/>
      <c r="DP125" s="417"/>
      <c r="DQ125" s="417"/>
      <c r="DR125" s="417"/>
      <c r="DS125" s="417"/>
      <c r="DT125" s="417"/>
      <c r="DU125" s="417"/>
      <c r="DV125" s="417"/>
      <c r="DW125" s="417"/>
      <c r="DX125" s="417"/>
      <c r="DY125" s="417"/>
      <c r="DZ125" s="417"/>
      <c r="EA125" s="417"/>
      <c r="EB125" s="417"/>
      <c r="EC125" s="417"/>
      <c r="ED125" s="417"/>
      <c r="EE125" s="417"/>
      <c r="EF125" s="417"/>
      <c r="EG125" s="417"/>
      <c r="EH125" s="417"/>
      <c r="EI125" s="417"/>
      <c r="EJ125" s="417"/>
      <c r="EK125" s="417"/>
      <c r="EL125" s="417"/>
      <c r="EM125" s="417"/>
      <c r="EN125" s="417"/>
      <c r="EO125" s="417"/>
      <c r="EP125" s="417"/>
      <c r="EQ125" s="417"/>
      <c r="ER125" s="417"/>
      <c r="ES125" s="417"/>
      <c r="ET125" s="417"/>
      <c r="EU125" s="417"/>
      <c r="EV125" s="417"/>
      <c r="EW125" s="417"/>
      <c r="EX125" s="417"/>
      <c r="EY125" s="417"/>
      <c r="EZ125" s="417"/>
      <c r="FA125" s="417"/>
      <c r="FB125" s="417"/>
      <c r="FC125" s="417"/>
      <c r="FD125" s="417"/>
      <c r="FE125" s="417"/>
      <c r="FF125" s="417"/>
      <c r="FG125" s="417"/>
      <c r="FH125" s="417"/>
      <c r="FI125" s="417"/>
      <c r="FJ125" s="417"/>
      <c r="FK125" s="417"/>
      <c r="FL125" s="417"/>
      <c r="FM125" s="417"/>
      <c r="FN125" s="417"/>
      <c r="FO125" s="417"/>
      <c r="FP125" s="417"/>
      <c r="FQ125" s="417"/>
      <c r="FR125" s="417"/>
      <c r="FS125" s="417"/>
      <c r="FT125" s="417"/>
      <c r="FU125" s="417"/>
      <c r="FV125" s="417"/>
      <c r="FW125" s="417"/>
      <c r="FX125" s="417"/>
      <c r="FY125" s="417"/>
      <c r="FZ125" s="417"/>
      <c r="GA125" s="417"/>
      <c r="GB125" s="417"/>
      <c r="GC125" s="417"/>
      <c r="GD125" s="417"/>
      <c r="GE125" s="417"/>
      <c r="GF125" s="417"/>
      <c r="GG125" s="417"/>
      <c r="GH125" s="417"/>
      <c r="GI125" s="417"/>
      <c r="GJ125" s="417"/>
      <c r="GK125" s="417"/>
      <c r="GL125" s="417"/>
      <c r="GM125" s="417"/>
      <c r="GN125" s="417"/>
      <c r="GO125" s="417"/>
      <c r="GP125" s="417"/>
      <c r="GQ125" s="417"/>
      <c r="GR125" s="417"/>
      <c r="GS125" s="417"/>
      <c r="GT125" s="417"/>
      <c r="GU125" s="417"/>
      <c r="GV125" s="417"/>
      <c r="GW125" s="417"/>
      <c r="GX125" s="417"/>
      <c r="GY125" s="417"/>
      <c r="GZ125" s="417"/>
      <c r="HA125" s="417"/>
      <c r="HB125" s="417"/>
      <c r="HC125" s="417"/>
      <c r="HD125" s="417"/>
      <c r="HE125" s="417"/>
      <c r="HF125" s="417"/>
      <c r="HG125" s="417"/>
      <c r="HH125" s="417"/>
      <c r="HI125" s="417"/>
      <c r="HJ125" s="417"/>
      <c r="HK125" s="417"/>
      <c r="HL125" s="417"/>
      <c r="HM125" s="417"/>
      <c r="HN125" s="417"/>
      <c r="HO125" s="417"/>
      <c r="HP125" s="417"/>
      <c r="HQ125" s="417"/>
      <c r="HR125" s="417"/>
      <c r="HS125" s="417"/>
      <c r="HT125" s="417"/>
      <c r="HU125" s="417"/>
      <c r="HV125" s="417"/>
      <c r="HW125" s="417"/>
      <c r="HX125" s="417"/>
      <c r="HY125" s="417"/>
      <c r="HZ125" s="417"/>
      <c r="IA125" s="417"/>
      <c r="IB125" s="417"/>
      <c r="IC125" s="417"/>
      <c r="ID125" s="417"/>
      <c r="IE125" s="417"/>
      <c r="IF125" s="417"/>
      <c r="IG125" s="417"/>
      <c r="IH125" s="417"/>
      <c r="II125" s="417"/>
    </row>
    <row r="126" spans="1:243" ht="15">
      <c r="A126" s="417"/>
      <c r="B126" s="417"/>
      <c r="C126" s="418"/>
      <c r="D126" s="418"/>
      <c r="E126" s="418"/>
      <c r="F126" s="418"/>
      <c r="G126" s="418"/>
      <c r="H126" s="418"/>
      <c r="I126" s="418"/>
      <c r="J126" s="417"/>
      <c r="K126" s="418"/>
      <c r="L126" s="418"/>
      <c r="M126" s="418"/>
      <c r="N126" s="418"/>
      <c r="O126" s="418"/>
      <c r="P126" s="418"/>
      <c r="Q126" s="418"/>
      <c r="R126" s="456" t="s">
        <v>316</v>
      </c>
      <c r="S126" s="467">
        <f>+P118</f>
        <v>6339913941.849999</v>
      </c>
      <c r="T126" s="417"/>
      <c r="U126" s="417"/>
      <c r="V126" s="417"/>
      <c r="W126" s="417"/>
      <c r="X126" s="417"/>
      <c r="AA126" s="417"/>
      <c r="AB126" s="417"/>
      <c r="AC126" s="417"/>
      <c r="AD126" s="417"/>
      <c r="AE126" s="417"/>
      <c r="AF126" s="417"/>
      <c r="AG126" s="417"/>
      <c r="AH126" s="417"/>
      <c r="AI126" s="417"/>
      <c r="AJ126" s="417"/>
      <c r="AK126" s="417"/>
      <c r="AL126" s="417"/>
      <c r="AM126" s="417"/>
      <c r="AN126" s="417"/>
      <c r="AO126" s="417"/>
      <c r="AP126" s="417"/>
      <c r="AQ126" s="417"/>
      <c r="AR126" s="417"/>
      <c r="AS126" s="417"/>
      <c r="AT126" s="417"/>
      <c r="AU126" s="417"/>
      <c r="AV126" s="417"/>
      <c r="AW126" s="417"/>
      <c r="AX126" s="417"/>
      <c r="AY126" s="417"/>
      <c r="AZ126" s="417"/>
      <c r="BA126" s="417"/>
      <c r="BB126" s="417"/>
      <c r="BC126" s="417"/>
      <c r="BD126" s="417"/>
      <c r="BE126" s="417"/>
      <c r="BF126" s="417"/>
      <c r="BG126" s="417"/>
      <c r="BH126" s="417"/>
      <c r="BI126" s="417"/>
      <c r="BJ126" s="417"/>
      <c r="BK126" s="417"/>
      <c r="BL126" s="417"/>
      <c r="BM126" s="417"/>
      <c r="BN126" s="417"/>
      <c r="BO126" s="417"/>
      <c r="BP126" s="417"/>
      <c r="BQ126" s="417"/>
      <c r="BR126" s="417"/>
      <c r="BS126" s="417"/>
      <c r="BT126" s="417"/>
      <c r="BU126" s="417"/>
      <c r="BV126" s="417"/>
      <c r="BW126" s="417"/>
      <c r="BX126" s="417"/>
      <c r="BY126" s="417"/>
      <c r="BZ126" s="417"/>
      <c r="CA126" s="417"/>
      <c r="CB126" s="417"/>
      <c r="CC126" s="417"/>
      <c r="CD126" s="417"/>
      <c r="CE126" s="417"/>
      <c r="CF126" s="417"/>
      <c r="CG126" s="417"/>
      <c r="CH126" s="417"/>
      <c r="CI126" s="417"/>
      <c r="CJ126" s="417"/>
      <c r="CK126" s="417"/>
      <c r="CL126" s="417"/>
      <c r="CM126" s="417"/>
      <c r="CN126" s="417"/>
      <c r="CO126" s="417"/>
      <c r="CP126" s="417"/>
      <c r="CQ126" s="417"/>
      <c r="CR126" s="417"/>
      <c r="CS126" s="417"/>
      <c r="CT126" s="417"/>
      <c r="CU126" s="417"/>
      <c r="CV126" s="417"/>
      <c r="CW126" s="417"/>
      <c r="CX126" s="417"/>
      <c r="CY126" s="417"/>
      <c r="CZ126" s="417"/>
      <c r="DA126" s="417"/>
      <c r="DB126" s="417"/>
      <c r="DC126" s="417"/>
      <c r="DD126" s="417"/>
      <c r="DE126" s="417"/>
      <c r="DF126" s="417"/>
      <c r="DG126" s="417"/>
      <c r="DH126" s="417"/>
      <c r="DI126" s="417"/>
      <c r="DJ126" s="417"/>
      <c r="DK126" s="417"/>
      <c r="DL126" s="417"/>
      <c r="DM126" s="417"/>
      <c r="DN126" s="417"/>
      <c r="DO126" s="417"/>
      <c r="DP126" s="417"/>
      <c r="DQ126" s="417"/>
      <c r="DR126" s="417"/>
      <c r="DS126" s="417"/>
      <c r="DT126" s="417"/>
      <c r="DU126" s="417"/>
      <c r="DV126" s="417"/>
      <c r="DW126" s="417"/>
      <c r="DX126" s="417"/>
      <c r="DY126" s="417"/>
      <c r="DZ126" s="417"/>
      <c r="EA126" s="417"/>
      <c r="EB126" s="417"/>
      <c r="EC126" s="417"/>
      <c r="ED126" s="417"/>
      <c r="EE126" s="417"/>
      <c r="EF126" s="417"/>
      <c r="EG126" s="417"/>
      <c r="EH126" s="417"/>
      <c r="EI126" s="417"/>
      <c r="EJ126" s="417"/>
      <c r="EK126" s="417"/>
      <c r="EL126" s="417"/>
      <c r="EM126" s="417"/>
      <c r="EN126" s="417"/>
      <c r="EO126" s="417"/>
      <c r="EP126" s="417"/>
      <c r="EQ126" s="417"/>
      <c r="ER126" s="417"/>
      <c r="ES126" s="417"/>
      <c r="ET126" s="417"/>
      <c r="EU126" s="417"/>
      <c r="EV126" s="417"/>
      <c r="EW126" s="417"/>
      <c r="EX126" s="417"/>
      <c r="EY126" s="417"/>
      <c r="EZ126" s="417"/>
      <c r="FA126" s="417"/>
      <c r="FB126" s="417"/>
      <c r="FC126" s="417"/>
      <c r="FD126" s="417"/>
      <c r="FE126" s="417"/>
      <c r="FF126" s="417"/>
      <c r="FG126" s="417"/>
      <c r="FH126" s="417"/>
      <c r="FI126" s="417"/>
      <c r="FJ126" s="417"/>
      <c r="FK126" s="417"/>
      <c r="FL126" s="417"/>
      <c r="FM126" s="417"/>
      <c r="FN126" s="417"/>
      <c r="FO126" s="417"/>
      <c r="FP126" s="417"/>
      <c r="FQ126" s="417"/>
      <c r="FR126" s="417"/>
      <c r="FS126" s="417"/>
      <c r="FT126" s="417"/>
      <c r="FU126" s="417"/>
      <c r="FV126" s="417"/>
      <c r="FW126" s="417"/>
      <c r="FX126" s="417"/>
      <c r="FY126" s="417"/>
      <c r="FZ126" s="417"/>
      <c r="GA126" s="417"/>
      <c r="GB126" s="417"/>
      <c r="GC126" s="417"/>
      <c r="GD126" s="417"/>
      <c r="GE126" s="417"/>
      <c r="GF126" s="417"/>
      <c r="GG126" s="417"/>
      <c r="GH126" s="417"/>
      <c r="GI126" s="417"/>
      <c r="GJ126" s="417"/>
      <c r="GK126" s="417"/>
      <c r="GL126" s="417"/>
      <c r="GM126" s="417"/>
      <c r="GN126" s="417"/>
      <c r="GO126" s="417"/>
      <c r="GP126" s="417"/>
      <c r="GQ126" s="417"/>
      <c r="GR126" s="417"/>
      <c r="GS126" s="417"/>
      <c r="GT126" s="417"/>
      <c r="GU126" s="417"/>
      <c r="GV126" s="417"/>
      <c r="GW126" s="417"/>
      <c r="GX126" s="417"/>
      <c r="GY126" s="417"/>
      <c r="GZ126" s="417"/>
      <c r="HA126" s="417"/>
      <c r="HB126" s="417"/>
      <c r="HC126" s="417"/>
      <c r="HD126" s="417"/>
      <c r="HE126" s="417"/>
      <c r="HF126" s="417"/>
      <c r="HG126" s="417"/>
      <c r="HH126" s="417"/>
      <c r="HI126" s="417"/>
      <c r="HJ126" s="417"/>
      <c r="HK126" s="417"/>
      <c r="HL126" s="417"/>
      <c r="HM126" s="417"/>
      <c r="HN126" s="417"/>
      <c r="HO126" s="417"/>
      <c r="HP126" s="417"/>
      <c r="HQ126" s="417"/>
      <c r="HR126" s="417"/>
      <c r="HS126" s="417"/>
      <c r="HT126" s="417"/>
      <c r="HU126" s="417"/>
      <c r="HV126" s="417"/>
      <c r="HW126" s="417"/>
      <c r="HX126" s="417"/>
      <c r="HY126" s="417"/>
      <c r="HZ126" s="417"/>
      <c r="IA126" s="417"/>
      <c r="IB126" s="417"/>
      <c r="IC126" s="417"/>
      <c r="ID126" s="417"/>
      <c r="IE126" s="417"/>
      <c r="IF126" s="417"/>
      <c r="IG126" s="417"/>
      <c r="IH126" s="417"/>
      <c r="II126" s="417"/>
    </row>
    <row r="127" spans="1:243" ht="15">
      <c r="A127" s="417"/>
      <c r="B127" s="417"/>
      <c r="C127" s="418"/>
      <c r="D127" s="418"/>
      <c r="E127" s="418"/>
      <c r="F127" s="418"/>
      <c r="G127" s="418"/>
      <c r="H127" s="418"/>
      <c r="I127" s="418"/>
      <c r="J127" s="417"/>
      <c r="K127" s="418"/>
      <c r="L127" s="418"/>
      <c r="M127" s="418"/>
      <c r="N127" s="418"/>
      <c r="O127" s="418"/>
      <c r="P127" s="418"/>
      <c r="Q127" s="418"/>
      <c r="R127" s="456" t="s">
        <v>317</v>
      </c>
      <c r="S127" s="3">
        <f>+S126-S125</f>
        <v>195653096.84999943</v>
      </c>
      <c r="T127" s="417"/>
      <c r="U127" s="417"/>
      <c r="V127" s="417"/>
      <c r="W127" s="417"/>
      <c r="X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7"/>
      <c r="AY127" s="417"/>
      <c r="AZ127" s="417"/>
      <c r="BA127" s="417"/>
      <c r="BB127" s="417"/>
      <c r="BC127" s="417"/>
      <c r="BD127" s="417"/>
      <c r="BE127" s="417"/>
      <c r="BF127" s="417"/>
      <c r="BG127" s="417"/>
      <c r="BH127" s="417"/>
      <c r="BI127" s="417"/>
      <c r="BJ127" s="417"/>
      <c r="BK127" s="417"/>
      <c r="BL127" s="417"/>
      <c r="BM127" s="417"/>
      <c r="BN127" s="417"/>
      <c r="BO127" s="417"/>
      <c r="BP127" s="417"/>
      <c r="BQ127" s="417"/>
      <c r="BR127" s="417"/>
      <c r="BS127" s="417"/>
      <c r="BT127" s="417"/>
      <c r="BU127" s="417"/>
      <c r="BV127" s="417"/>
      <c r="BW127" s="417"/>
      <c r="BX127" s="417"/>
      <c r="BY127" s="417"/>
      <c r="BZ127" s="417"/>
      <c r="CA127" s="417"/>
      <c r="CB127" s="417"/>
      <c r="CC127" s="417"/>
      <c r="CD127" s="417"/>
      <c r="CE127" s="417"/>
      <c r="CF127" s="417"/>
      <c r="CG127" s="417"/>
      <c r="CH127" s="417"/>
      <c r="CI127" s="417"/>
      <c r="CJ127" s="417"/>
      <c r="CK127" s="417"/>
      <c r="CL127" s="417"/>
      <c r="CM127" s="417"/>
      <c r="CN127" s="417"/>
      <c r="CO127" s="417"/>
      <c r="CP127" s="417"/>
      <c r="CQ127" s="417"/>
      <c r="CR127" s="417"/>
      <c r="CS127" s="417"/>
      <c r="CT127" s="417"/>
      <c r="CU127" s="417"/>
      <c r="CV127" s="417"/>
      <c r="CW127" s="417"/>
      <c r="CX127" s="417"/>
      <c r="CY127" s="417"/>
      <c r="CZ127" s="417"/>
      <c r="DA127" s="417"/>
      <c r="DB127" s="417"/>
      <c r="DC127" s="417"/>
      <c r="DD127" s="417"/>
      <c r="DE127" s="417"/>
      <c r="DF127" s="417"/>
      <c r="DG127" s="417"/>
      <c r="DH127" s="417"/>
      <c r="DI127" s="417"/>
      <c r="DJ127" s="417"/>
      <c r="DK127" s="417"/>
      <c r="DL127" s="417"/>
      <c r="DM127" s="417"/>
      <c r="DN127" s="417"/>
      <c r="DO127" s="417"/>
      <c r="DP127" s="417"/>
      <c r="DQ127" s="417"/>
      <c r="DR127" s="417"/>
      <c r="DS127" s="417"/>
      <c r="DT127" s="417"/>
      <c r="DU127" s="417"/>
      <c r="DV127" s="417"/>
      <c r="DW127" s="417"/>
      <c r="DX127" s="417"/>
      <c r="DY127" s="417"/>
      <c r="DZ127" s="417"/>
      <c r="EA127" s="417"/>
      <c r="EB127" s="417"/>
      <c r="EC127" s="417"/>
      <c r="ED127" s="417"/>
      <c r="EE127" s="417"/>
      <c r="EF127" s="417"/>
      <c r="EG127" s="417"/>
      <c r="EH127" s="417"/>
      <c r="EI127" s="417"/>
      <c r="EJ127" s="417"/>
      <c r="EK127" s="417"/>
      <c r="EL127" s="417"/>
      <c r="EM127" s="417"/>
      <c r="EN127" s="417"/>
      <c r="EO127" s="417"/>
      <c r="EP127" s="417"/>
      <c r="EQ127" s="417"/>
      <c r="ER127" s="417"/>
      <c r="ES127" s="417"/>
      <c r="ET127" s="417"/>
      <c r="EU127" s="417"/>
      <c r="EV127" s="417"/>
      <c r="EW127" s="417"/>
      <c r="EX127" s="417"/>
      <c r="EY127" s="417"/>
      <c r="EZ127" s="417"/>
      <c r="FA127" s="417"/>
      <c r="FB127" s="417"/>
      <c r="FC127" s="417"/>
      <c r="FD127" s="417"/>
      <c r="FE127" s="417"/>
      <c r="FF127" s="417"/>
      <c r="FG127" s="417"/>
      <c r="FH127" s="417"/>
      <c r="FI127" s="417"/>
      <c r="FJ127" s="417"/>
      <c r="FK127" s="417"/>
      <c r="FL127" s="417"/>
      <c r="FM127" s="417"/>
      <c r="FN127" s="417"/>
      <c r="FO127" s="417"/>
      <c r="FP127" s="417"/>
      <c r="FQ127" s="417"/>
      <c r="FR127" s="417"/>
      <c r="FS127" s="417"/>
      <c r="FT127" s="417"/>
      <c r="FU127" s="417"/>
      <c r="FV127" s="417"/>
      <c r="FW127" s="417"/>
      <c r="FX127" s="417"/>
      <c r="FY127" s="417"/>
      <c r="FZ127" s="417"/>
      <c r="GA127" s="417"/>
      <c r="GB127" s="417"/>
      <c r="GC127" s="417"/>
      <c r="GD127" s="417"/>
      <c r="GE127" s="417"/>
      <c r="GF127" s="417"/>
      <c r="GG127" s="417"/>
      <c r="GH127" s="417"/>
      <c r="GI127" s="417"/>
      <c r="GJ127" s="417"/>
      <c r="GK127" s="417"/>
      <c r="GL127" s="417"/>
      <c r="GM127" s="417"/>
      <c r="GN127" s="417"/>
      <c r="GO127" s="417"/>
      <c r="GP127" s="417"/>
      <c r="GQ127" s="417"/>
      <c r="GR127" s="417"/>
      <c r="GS127" s="417"/>
      <c r="GT127" s="417"/>
      <c r="GU127" s="417"/>
      <c r="GV127" s="417"/>
      <c r="GW127" s="417"/>
      <c r="GX127" s="417"/>
      <c r="GY127" s="417"/>
      <c r="GZ127" s="417"/>
      <c r="HA127" s="417"/>
      <c r="HB127" s="417"/>
      <c r="HC127" s="417"/>
      <c r="HD127" s="417"/>
      <c r="HE127" s="417"/>
      <c r="HF127" s="417"/>
      <c r="HG127" s="417"/>
      <c r="HH127" s="417"/>
      <c r="HI127" s="417"/>
      <c r="HJ127" s="417"/>
      <c r="HK127" s="417"/>
      <c r="HL127" s="417"/>
      <c r="HM127" s="417"/>
      <c r="HN127" s="417"/>
      <c r="HO127" s="417"/>
      <c r="HP127" s="417"/>
      <c r="HQ127" s="417"/>
      <c r="HR127" s="417"/>
      <c r="HS127" s="417"/>
      <c r="HT127" s="417"/>
      <c r="HU127" s="417"/>
      <c r="HV127" s="417"/>
      <c r="HW127" s="417"/>
      <c r="HX127" s="417"/>
      <c r="HY127" s="417"/>
      <c r="HZ127" s="417"/>
      <c r="IA127" s="417"/>
      <c r="IB127" s="417"/>
      <c r="IC127" s="417"/>
      <c r="ID127" s="417"/>
      <c r="IE127" s="417"/>
      <c r="IF127" s="417"/>
      <c r="IG127" s="417"/>
      <c r="IH127" s="417"/>
      <c r="II127" s="417"/>
    </row>
    <row r="128" spans="1:243" ht="15">
      <c r="A128" s="417"/>
      <c r="B128" s="417"/>
      <c r="C128" s="418"/>
      <c r="D128" s="418"/>
      <c r="E128" s="418"/>
      <c r="F128" s="418"/>
      <c r="G128" s="418"/>
      <c r="H128" s="418"/>
      <c r="I128" s="418"/>
      <c r="J128" s="417"/>
      <c r="K128" s="418"/>
      <c r="L128" s="418"/>
      <c r="M128" s="418"/>
      <c r="N128" s="418"/>
      <c r="O128" s="418"/>
      <c r="P128" s="418"/>
      <c r="Q128" s="418"/>
      <c r="R128" s="456" t="s">
        <v>449</v>
      </c>
      <c r="S128" s="3">
        <v>198985097</v>
      </c>
      <c r="T128" s="468"/>
      <c r="U128" s="417"/>
      <c r="V128" s="417"/>
      <c r="W128" s="417"/>
      <c r="X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7"/>
      <c r="AY128" s="417"/>
      <c r="AZ128" s="417"/>
      <c r="BA128" s="417"/>
      <c r="BB128" s="417"/>
      <c r="BC128" s="417"/>
      <c r="BD128" s="417"/>
      <c r="BE128" s="417"/>
      <c r="BF128" s="417"/>
      <c r="BG128" s="417"/>
      <c r="BH128" s="417"/>
      <c r="BI128" s="417"/>
      <c r="BJ128" s="417"/>
      <c r="BK128" s="417"/>
      <c r="BL128" s="417"/>
      <c r="BM128" s="417"/>
      <c r="BN128" s="417"/>
      <c r="BO128" s="417"/>
      <c r="BP128" s="417"/>
      <c r="BQ128" s="417"/>
      <c r="BR128" s="417"/>
      <c r="BS128" s="417"/>
      <c r="BT128" s="417"/>
      <c r="BU128" s="417"/>
      <c r="BV128" s="417"/>
      <c r="BW128" s="417"/>
      <c r="BX128" s="417"/>
      <c r="BY128" s="417"/>
      <c r="BZ128" s="417"/>
      <c r="CA128" s="417"/>
      <c r="CB128" s="417"/>
      <c r="CC128" s="417"/>
      <c r="CD128" s="417"/>
      <c r="CE128" s="417"/>
      <c r="CF128" s="417"/>
      <c r="CG128" s="417"/>
      <c r="CH128" s="417"/>
      <c r="CI128" s="417"/>
      <c r="CJ128" s="417"/>
      <c r="CK128" s="417"/>
      <c r="CL128" s="417"/>
      <c r="CM128" s="417"/>
      <c r="CN128" s="417"/>
      <c r="CO128" s="417"/>
      <c r="CP128" s="417"/>
      <c r="CQ128" s="417"/>
      <c r="CR128" s="417"/>
      <c r="CS128" s="417"/>
      <c r="CT128" s="417"/>
      <c r="CU128" s="417"/>
      <c r="CV128" s="417"/>
      <c r="CW128" s="417"/>
      <c r="CX128" s="417"/>
      <c r="CY128" s="417"/>
      <c r="CZ128" s="417"/>
      <c r="DA128" s="417"/>
      <c r="DB128" s="417"/>
      <c r="DC128" s="417"/>
      <c r="DD128" s="417"/>
      <c r="DE128" s="417"/>
      <c r="DF128" s="417"/>
      <c r="DG128" s="417"/>
      <c r="DH128" s="417"/>
      <c r="DI128" s="417"/>
      <c r="DJ128" s="417"/>
      <c r="DK128" s="417"/>
      <c r="DL128" s="417"/>
      <c r="DM128" s="417"/>
      <c r="DN128" s="417"/>
      <c r="DO128" s="417"/>
      <c r="DP128" s="417"/>
      <c r="DQ128" s="417"/>
      <c r="DR128" s="417"/>
      <c r="DS128" s="417"/>
      <c r="DT128" s="417"/>
      <c r="DU128" s="417"/>
      <c r="DV128" s="417"/>
      <c r="DW128" s="417"/>
      <c r="DX128" s="417"/>
      <c r="DY128" s="417"/>
      <c r="DZ128" s="417"/>
      <c r="EA128" s="417"/>
      <c r="EB128" s="417"/>
      <c r="EC128" s="417"/>
      <c r="ED128" s="417"/>
      <c r="EE128" s="417"/>
      <c r="EF128" s="417"/>
      <c r="EG128" s="417"/>
      <c r="EH128" s="417"/>
      <c r="EI128" s="417"/>
      <c r="EJ128" s="417"/>
      <c r="EK128" s="417"/>
      <c r="EL128" s="417"/>
      <c r="EM128" s="417"/>
      <c r="EN128" s="417"/>
      <c r="EO128" s="417"/>
      <c r="EP128" s="417"/>
      <c r="EQ128" s="417"/>
      <c r="ER128" s="417"/>
      <c r="ES128" s="417"/>
      <c r="ET128" s="417"/>
      <c r="EU128" s="417"/>
      <c r="EV128" s="417"/>
      <c r="EW128" s="417"/>
      <c r="EX128" s="417"/>
      <c r="EY128" s="417"/>
      <c r="EZ128" s="417"/>
      <c r="FA128" s="417"/>
      <c r="FB128" s="417"/>
      <c r="FC128" s="417"/>
      <c r="FD128" s="417"/>
      <c r="FE128" s="417"/>
      <c r="FF128" s="417"/>
      <c r="FG128" s="417"/>
      <c r="FH128" s="417"/>
      <c r="FI128" s="417"/>
      <c r="FJ128" s="417"/>
      <c r="FK128" s="417"/>
      <c r="FL128" s="417"/>
      <c r="FM128" s="417"/>
      <c r="FN128" s="417"/>
      <c r="FO128" s="417"/>
      <c r="FP128" s="417"/>
      <c r="FQ128" s="417"/>
      <c r="FR128" s="417"/>
      <c r="FS128" s="417"/>
      <c r="FT128" s="417"/>
      <c r="FU128" s="417"/>
      <c r="FV128" s="417"/>
      <c r="FW128" s="417"/>
      <c r="FX128" s="417"/>
      <c r="FY128" s="417"/>
      <c r="FZ128" s="417"/>
      <c r="GA128" s="417"/>
      <c r="GB128" s="417"/>
      <c r="GC128" s="417"/>
      <c r="GD128" s="417"/>
      <c r="GE128" s="417"/>
      <c r="GF128" s="417"/>
      <c r="GG128" s="417"/>
      <c r="GH128" s="417"/>
      <c r="GI128" s="417"/>
      <c r="GJ128" s="417"/>
      <c r="GK128" s="417"/>
      <c r="GL128" s="417"/>
      <c r="GM128" s="417"/>
      <c r="GN128" s="417"/>
      <c r="GO128" s="417"/>
      <c r="GP128" s="417"/>
      <c r="GQ128" s="417"/>
      <c r="GR128" s="417"/>
      <c r="GS128" s="417"/>
      <c r="GT128" s="417"/>
      <c r="GU128" s="417"/>
      <c r="GV128" s="417"/>
      <c r="GW128" s="417"/>
      <c r="GX128" s="417"/>
      <c r="GY128" s="417"/>
      <c r="GZ128" s="417"/>
      <c r="HA128" s="417"/>
      <c r="HB128" s="417"/>
      <c r="HC128" s="417"/>
      <c r="HD128" s="417"/>
      <c r="HE128" s="417"/>
      <c r="HF128" s="417"/>
      <c r="HG128" s="417"/>
      <c r="HH128" s="417"/>
      <c r="HI128" s="417"/>
      <c r="HJ128" s="417"/>
      <c r="HK128" s="417"/>
      <c r="HL128" s="417"/>
      <c r="HM128" s="417"/>
      <c r="HN128" s="417"/>
      <c r="HO128" s="417"/>
      <c r="HP128" s="417"/>
      <c r="HQ128" s="417"/>
      <c r="HR128" s="417"/>
      <c r="HS128" s="417"/>
      <c r="HT128" s="417"/>
      <c r="HU128" s="417"/>
      <c r="HV128" s="417"/>
      <c r="HW128" s="417"/>
      <c r="HX128" s="417"/>
      <c r="HY128" s="417"/>
      <c r="HZ128" s="417"/>
      <c r="IA128" s="417"/>
      <c r="IB128" s="417"/>
      <c r="IC128" s="417"/>
      <c r="ID128" s="417"/>
      <c r="IE128" s="417"/>
      <c r="IF128" s="417"/>
      <c r="IG128" s="417"/>
      <c r="IH128" s="417"/>
      <c r="II128" s="417"/>
    </row>
    <row r="129" spans="1:243" ht="15">
      <c r="A129" s="417"/>
      <c r="B129" s="417"/>
      <c r="C129" s="418"/>
      <c r="D129" s="418"/>
      <c r="E129" s="418"/>
      <c r="F129" s="418"/>
      <c r="G129" s="418"/>
      <c r="H129" s="418"/>
      <c r="I129" s="418"/>
      <c r="J129" s="417"/>
      <c r="K129" s="418"/>
      <c r="L129" s="418"/>
      <c r="M129" s="418"/>
      <c r="N129" s="418"/>
      <c r="O129" s="418"/>
      <c r="P129" s="418"/>
      <c r="Q129" s="418"/>
      <c r="R129" s="457"/>
      <c r="S129" s="418">
        <f>+S127-S128</f>
        <v>-3332000.150000572</v>
      </c>
      <c r="T129" s="418">
        <f>+'F.08 A JUNIO'!I95</f>
        <v>-3332000</v>
      </c>
      <c r="U129" s="418">
        <f>+S129-T129</f>
        <v>-0.15000057220458984</v>
      </c>
      <c r="V129" s="417"/>
      <c r="W129" s="417"/>
      <c r="X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7"/>
      <c r="AY129" s="417"/>
      <c r="AZ129" s="417"/>
      <c r="BA129" s="417"/>
      <c r="BB129" s="417"/>
      <c r="BC129" s="417"/>
      <c r="BD129" s="417"/>
      <c r="BE129" s="417"/>
      <c r="BF129" s="417"/>
      <c r="BG129" s="417"/>
      <c r="BH129" s="417"/>
      <c r="BI129" s="417"/>
      <c r="BJ129" s="417"/>
      <c r="BK129" s="417"/>
      <c r="BL129" s="417"/>
      <c r="BM129" s="417"/>
      <c r="BN129" s="417"/>
      <c r="BO129" s="417"/>
      <c r="BP129" s="417"/>
      <c r="BQ129" s="417"/>
      <c r="BR129" s="417"/>
      <c r="BS129" s="417"/>
      <c r="BT129" s="417"/>
      <c r="BU129" s="417"/>
      <c r="BV129" s="417"/>
      <c r="BW129" s="417"/>
      <c r="BX129" s="417"/>
      <c r="BY129" s="417"/>
      <c r="BZ129" s="417"/>
      <c r="CA129" s="417"/>
      <c r="CB129" s="417"/>
      <c r="CC129" s="417"/>
      <c r="CD129" s="417"/>
      <c r="CE129" s="417"/>
      <c r="CF129" s="417"/>
      <c r="CG129" s="417"/>
      <c r="CH129" s="417"/>
      <c r="CI129" s="417"/>
      <c r="CJ129" s="417"/>
      <c r="CK129" s="417"/>
      <c r="CL129" s="417"/>
      <c r="CM129" s="417"/>
      <c r="CN129" s="417"/>
      <c r="CO129" s="417"/>
      <c r="CP129" s="417"/>
      <c r="CQ129" s="417"/>
      <c r="CR129" s="417"/>
      <c r="CS129" s="417"/>
      <c r="CT129" s="417"/>
      <c r="CU129" s="417"/>
      <c r="CV129" s="417"/>
      <c r="CW129" s="417"/>
      <c r="CX129" s="417"/>
      <c r="CY129" s="417"/>
      <c r="CZ129" s="417"/>
      <c r="DA129" s="417"/>
      <c r="DB129" s="417"/>
      <c r="DC129" s="417"/>
      <c r="DD129" s="417"/>
      <c r="DE129" s="417"/>
      <c r="DF129" s="417"/>
      <c r="DG129" s="417"/>
      <c r="DH129" s="417"/>
      <c r="DI129" s="417"/>
      <c r="DJ129" s="417"/>
      <c r="DK129" s="417"/>
      <c r="DL129" s="417"/>
      <c r="DM129" s="417"/>
      <c r="DN129" s="417"/>
      <c r="DO129" s="417"/>
      <c r="DP129" s="417"/>
      <c r="DQ129" s="417"/>
      <c r="DR129" s="417"/>
      <c r="DS129" s="417"/>
      <c r="DT129" s="417"/>
      <c r="DU129" s="417"/>
      <c r="DV129" s="417"/>
      <c r="DW129" s="417"/>
      <c r="DX129" s="417"/>
      <c r="DY129" s="417"/>
      <c r="DZ129" s="417"/>
      <c r="EA129" s="417"/>
      <c r="EB129" s="417"/>
      <c r="EC129" s="417"/>
      <c r="ED129" s="417"/>
      <c r="EE129" s="417"/>
      <c r="EF129" s="417"/>
      <c r="EG129" s="417"/>
      <c r="EH129" s="417"/>
      <c r="EI129" s="417"/>
      <c r="EJ129" s="417"/>
      <c r="EK129" s="417"/>
      <c r="EL129" s="417"/>
      <c r="EM129" s="417"/>
      <c r="EN129" s="417"/>
      <c r="EO129" s="417"/>
      <c r="EP129" s="417"/>
      <c r="EQ129" s="417"/>
      <c r="ER129" s="417"/>
      <c r="ES129" s="417"/>
      <c r="ET129" s="417"/>
      <c r="EU129" s="417"/>
      <c r="EV129" s="417"/>
      <c r="EW129" s="417"/>
      <c r="EX129" s="417"/>
      <c r="EY129" s="417"/>
      <c r="EZ129" s="417"/>
      <c r="FA129" s="417"/>
      <c r="FB129" s="417"/>
      <c r="FC129" s="417"/>
      <c r="FD129" s="417"/>
      <c r="FE129" s="417"/>
      <c r="FF129" s="417"/>
      <c r="FG129" s="417"/>
      <c r="FH129" s="417"/>
      <c r="FI129" s="417"/>
      <c r="FJ129" s="417"/>
      <c r="FK129" s="417"/>
      <c r="FL129" s="417"/>
      <c r="FM129" s="417"/>
      <c r="FN129" s="417"/>
      <c r="FO129" s="417"/>
      <c r="FP129" s="417"/>
      <c r="FQ129" s="417"/>
      <c r="FR129" s="417"/>
      <c r="FS129" s="417"/>
      <c r="FT129" s="417"/>
      <c r="FU129" s="417"/>
      <c r="FV129" s="417"/>
      <c r="FW129" s="417"/>
      <c r="FX129" s="417"/>
      <c r="FY129" s="417"/>
      <c r="FZ129" s="417"/>
      <c r="GA129" s="417"/>
      <c r="GB129" s="417"/>
      <c r="GC129" s="417"/>
      <c r="GD129" s="417"/>
      <c r="GE129" s="417"/>
      <c r="GF129" s="417"/>
      <c r="GG129" s="417"/>
      <c r="GH129" s="417"/>
      <c r="GI129" s="417"/>
      <c r="GJ129" s="417"/>
      <c r="GK129" s="417"/>
      <c r="GL129" s="417"/>
      <c r="GM129" s="417"/>
      <c r="GN129" s="417"/>
      <c r="GO129" s="417"/>
      <c r="GP129" s="417"/>
      <c r="GQ129" s="417"/>
      <c r="GR129" s="417"/>
      <c r="GS129" s="417"/>
      <c r="GT129" s="417"/>
      <c r="GU129" s="417"/>
      <c r="GV129" s="417"/>
      <c r="GW129" s="417"/>
      <c r="GX129" s="417"/>
      <c r="GY129" s="417"/>
      <c r="GZ129" s="417"/>
      <c r="HA129" s="417"/>
      <c r="HB129" s="417"/>
      <c r="HC129" s="417"/>
      <c r="HD129" s="417"/>
      <c r="HE129" s="417"/>
      <c r="HF129" s="417"/>
      <c r="HG129" s="417"/>
      <c r="HH129" s="417"/>
      <c r="HI129" s="417"/>
      <c r="HJ129" s="417"/>
      <c r="HK129" s="417"/>
      <c r="HL129" s="417"/>
      <c r="HM129" s="417"/>
      <c r="HN129" s="417"/>
      <c r="HO129" s="417"/>
      <c r="HP129" s="417"/>
      <c r="HQ129" s="417"/>
      <c r="HR129" s="417"/>
      <c r="HS129" s="417"/>
      <c r="HT129" s="417"/>
      <c r="HU129" s="417"/>
      <c r="HV129" s="417"/>
      <c r="HW129" s="417"/>
      <c r="HX129" s="417"/>
      <c r="HY129" s="417"/>
      <c r="HZ129" s="417"/>
      <c r="IA129" s="417"/>
      <c r="IB129" s="417"/>
      <c r="IC129" s="417"/>
      <c r="ID129" s="417"/>
      <c r="IE129" s="417"/>
      <c r="IF129" s="417"/>
      <c r="IG129" s="417"/>
      <c r="IH129" s="417"/>
      <c r="II129" s="417"/>
    </row>
    <row r="130" spans="1:243" ht="15">
      <c r="A130" s="417"/>
      <c r="B130" s="417"/>
      <c r="C130" s="418"/>
      <c r="D130" s="418"/>
      <c r="E130" s="418"/>
      <c r="F130" s="418"/>
      <c r="G130" s="418"/>
      <c r="H130" s="418"/>
      <c r="I130" s="418"/>
      <c r="J130" s="417"/>
      <c r="K130" s="418"/>
      <c r="L130" s="418"/>
      <c r="M130" s="418"/>
      <c r="N130" s="418"/>
      <c r="O130" s="418"/>
      <c r="P130" s="418"/>
      <c r="Q130" s="418"/>
      <c r="R130" s="457"/>
      <c r="S130" s="418"/>
      <c r="T130" s="417" t="s">
        <v>318</v>
      </c>
      <c r="U130" s="417"/>
      <c r="V130" s="417"/>
      <c r="W130" s="417"/>
      <c r="X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7"/>
      <c r="AY130" s="417"/>
      <c r="AZ130" s="417"/>
      <c r="BA130" s="417"/>
      <c r="BB130" s="417"/>
      <c r="BC130" s="417"/>
      <c r="BD130" s="417"/>
      <c r="BE130" s="417"/>
      <c r="BF130" s="417"/>
      <c r="BG130" s="417"/>
      <c r="BH130" s="417"/>
      <c r="BI130" s="417"/>
      <c r="BJ130" s="417"/>
      <c r="BK130" s="417"/>
      <c r="BL130" s="417"/>
      <c r="BM130" s="417"/>
      <c r="BN130" s="417"/>
      <c r="BO130" s="417"/>
      <c r="BP130" s="417"/>
      <c r="BQ130" s="417"/>
      <c r="BR130" s="417"/>
      <c r="BS130" s="417"/>
      <c r="BT130" s="417"/>
      <c r="BU130" s="417"/>
      <c r="BV130" s="417"/>
      <c r="BW130" s="417"/>
      <c r="BX130" s="417"/>
      <c r="BY130" s="417"/>
      <c r="BZ130" s="417"/>
      <c r="CA130" s="417"/>
      <c r="CB130" s="417"/>
      <c r="CC130" s="417"/>
      <c r="CD130" s="417"/>
      <c r="CE130" s="417"/>
      <c r="CF130" s="417"/>
      <c r="CG130" s="417"/>
      <c r="CH130" s="417"/>
      <c r="CI130" s="417"/>
      <c r="CJ130" s="417"/>
      <c r="CK130" s="417"/>
      <c r="CL130" s="417"/>
      <c r="CM130" s="417"/>
      <c r="CN130" s="417"/>
      <c r="CO130" s="417"/>
      <c r="CP130" s="417"/>
      <c r="CQ130" s="417"/>
      <c r="CR130" s="417"/>
      <c r="CS130" s="417"/>
      <c r="CT130" s="417"/>
      <c r="CU130" s="417"/>
      <c r="CV130" s="417"/>
      <c r="CW130" s="417"/>
      <c r="CX130" s="417"/>
      <c r="CY130" s="417"/>
      <c r="CZ130" s="417"/>
      <c r="DA130" s="417"/>
      <c r="DB130" s="417"/>
      <c r="DC130" s="417"/>
      <c r="DD130" s="417"/>
      <c r="DE130" s="417"/>
      <c r="DF130" s="417"/>
      <c r="DG130" s="417"/>
      <c r="DH130" s="417"/>
      <c r="DI130" s="417"/>
      <c r="DJ130" s="417"/>
      <c r="DK130" s="417"/>
      <c r="DL130" s="417"/>
      <c r="DM130" s="417"/>
      <c r="DN130" s="417"/>
      <c r="DO130" s="417"/>
      <c r="DP130" s="417"/>
      <c r="DQ130" s="417"/>
      <c r="DR130" s="417"/>
      <c r="DS130" s="417"/>
      <c r="DT130" s="417"/>
      <c r="DU130" s="417"/>
      <c r="DV130" s="417"/>
      <c r="DW130" s="417"/>
      <c r="DX130" s="417"/>
      <c r="DY130" s="417"/>
      <c r="DZ130" s="417"/>
      <c r="EA130" s="417"/>
      <c r="EB130" s="417"/>
      <c r="EC130" s="417"/>
      <c r="ED130" s="417"/>
      <c r="EE130" s="417"/>
      <c r="EF130" s="417"/>
      <c r="EG130" s="417"/>
      <c r="EH130" s="417"/>
      <c r="EI130" s="417"/>
      <c r="EJ130" s="417"/>
      <c r="EK130" s="417"/>
      <c r="EL130" s="417"/>
      <c r="EM130" s="417"/>
      <c r="EN130" s="417"/>
      <c r="EO130" s="417"/>
      <c r="EP130" s="417"/>
      <c r="EQ130" s="417"/>
      <c r="ER130" s="417"/>
      <c r="ES130" s="417"/>
      <c r="ET130" s="417"/>
      <c r="EU130" s="417"/>
      <c r="EV130" s="417"/>
      <c r="EW130" s="417"/>
      <c r="EX130" s="417"/>
      <c r="EY130" s="417"/>
      <c r="EZ130" s="417"/>
      <c r="FA130" s="417"/>
      <c r="FB130" s="417"/>
      <c r="FC130" s="417"/>
      <c r="FD130" s="417"/>
      <c r="FE130" s="417"/>
      <c r="FF130" s="417"/>
      <c r="FG130" s="417"/>
      <c r="FH130" s="417"/>
      <c r="FI130" s="417"/>
      <c r="FJ130" s="417"/>
      <c r="FK130" s="417"/>
      <c r="FL130" s="417"/>
      <c r="FM130" s="417"/>
      <c r="FN130" s="417"/>
      <c r="FO130" s="417"/>
      <c r="FP130" s="417"/>
      <c r="FQ130" s="417"/>
      <c r="FR130" s="417"/>
      <c r="FS130" s="417"/>
      <c r="FT130" s="417"/>
      <c r="FU130" s="417"/>
      <c r="FV130" s="417"/>
      <c r="FW130" s="417"/>
      <c r="FX130" s="417"/>
      <c r="FY130" s="417"/>
      <c r="FZ130" s="417"/>
      <c r="GA130" s="417"/>
      <c r="GB130" s="417"/>
      <c r="GC130" s="417"/>
      <c r="GD130" s="417"/>
      <c r="GE130" s="417"/>
      <c r="GF130" s="417"/>
      <c r="GG130" s="417"/>
      <c r="GH130" s="417"/>
      <c r="GI130" s="417"/>
      <c r="GJ130" s="417"/>
      <c r="GK130" s="417"/>
      <c r="GL130" s="417"/>
      <c r="GM130" s="417"/>
      <c r="GN130" s="417"/>
      <c r="GO130" s="417"/>
      <c r="GP130" s="417"/>
      <c r="GQ130" s="417"/>
      <c r="GR130" s="417"/>
      <c r="GS130" s="417"/>
      <c r="GT130" s="417"/>
      <c r="GU130" s="417"/>
      <c r="GV130" s="417"/>
      <c r="GW130" s="417"/>
      <c r="GX130" s="417"/>
      <c r="GY130" s="417"/>
      <c r="GZ130" s="417"/>
      <c r="HA130" s="417"/>
      <c r="HB130" s="417"/>
      <c r="HC130" s="417"/>
      <c r="HD130" s="417"/>
      <c r="HE130" s="417"/>
      <c r="HF130" s="417"/>
      <c r="HG130" s="417"/>
      <c r="HH130" s="417"/>
      <c r="HI130" s="417"/>
      <c r="HJ130" s="417"/>
      <c r="HK130" s="417"/>
      <c r="HL130" s="417"/>
      <c r="HM130" s="417"/>
      <c r="HN130" s="417"/>
      <c r="HO130" s="417"/>
      <c r="HP130" s="417"/>
      <c r="HQ130" s="417"/>
      <c r="HR130" s="417"/>
      <c r="HS130" s="417"/>
      <c r="HT130" s="417"/>
      <c r="HU130" s="417"/>
      <c r="HV130" s="417"/>
      <c r="HW130" s="417"/>
      <c r="HX130" s="417"/>
      <c r="HY130" s="417"/>
      <c r="HZ130" s="417"/>
      <c r="IA130" s="417"/>
      <c r="IB130" s="417"/>
      <c r="IC130" s="417"/>
      <c r="ID130" s="417"/>
      <c r="IE130" s="417"/>
      <c r="IF130" s="417"/>
      <c r="IG130" s="417"/>
      <c r="IH130" s="417"/>
      <c r="II130" s="417"/>
    </row>
    <row r="131" spans="1:243" ht="15">
      <c r="A131" s="417"/>
      <c r="B131" s="417"/>
      <c r="C131" s="418"/>
      <c r="D131" s="418"/>
      <c r="E131" s="418"/>
      <c r="F131" s="418"/>
      <c r="G131" s="418"/>
      <c r="H131" s="418"/>
      <c r="I131" s="418"/>
      <c r="J131" s="417"/>
      <c r="K131" s="418"/>
      <c r="L131" s="418"/>
      <c r="M131" s="418"/>
      <c r="N131" s="418"/>
      <c r="O131" s="418"/>
      <c r="P131" s="418"/>
      <c r="Q131" s="418"/>
      <c r="R131" s="457"/>
      <c r="S131" s="418"/>
      <c r="T131" s="417"/>
      <c r="U131" s="417"/>
      <c r="V131" s="417"/>
      <c r="W131" s="417"/>
      <c r="X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7"/>
      <c r="AY131" s="417"/>
      <c r="AZ131" s="417"/>
      <c r="BA131" s="417"/>
      <c r="BB131" s="417"/>
      <c r="BC131" s="417"/>
      <c r="BD131" s="417"/>
      <c r="BE131" s="417"/>
      <c r="BF131" s="417"/>
      <c r="BG131" s="417"/>
      <c r="BH131" s="417"/>
      <c r="BI131" s="417"/>
      <c r="BJ131" s="417"/>
      <c r="BK131" s="417"/>
      <c r="BL131" s="417"/>
      <c r="BM131" s="417"/>
      <c r="BN131" s="417"/>
      <c r="BO131" s="417"/>
      <c r="BP131" s="417"/>
      <c r="BQ131" s="417"/>
      <c r="BR131" s="417"/>
      <c r="BS131" s="417"/>
      <c r="BT131" s="417"/>
      <c r="BU131" s="417"/>
      <c r="BV131" s="417"/>
      <c r="BW131" s="417"/>
      <c r="BX131" s="417"/>
      <c r="BY131" s="417"/>
      <c r="BZ131" s="417"/>
      <c r="CA131" s="417"/>
      <c r="CB131" s="417"/>
      <c r="CC131" s="417"/>
      <c r="CD131" s="417"/>
      <c r="CE131" s="417"/>
      <c r="CF131" s="417"/>
      <c r="CG131" s="417"/>
      <c r="CH131" s="417"/>
      <c r="CI131" s="417"/>
      <c r="CJ131" s="417"/>
      <c r="CK131" s="417"/>
      <c r="CL131" s="417"/>
      <c r="CM131" s="417"/>
      <c r="CN131" s="417"/>
      <c r="CO131" s="417"/>
      <c r="CP131" s="417"/>
      <c r="CQ131" s="417"/>
      <c r="CR131" s="417"/>
      <c r="CS131" s="417"/>
      <c r="CT131" s="417"/>
      <c r="CU131" s="417"/>
      <c r="CV131" s="417"/>
      <c r="CW131" s="417"/>
      <c r="CX131" s="417"/>
      <c r="CY131" s="417"/>
      <c r="CZ131" s="417"/>
      <c r="DA131" s="417"/>
      <c r="DB131" s="417"/>
      <c r="DC131" s="417"/>
      <c r="DD131" s="417"/>
      <c r="DE131" s="417"/>
      <c r="DF131" s="417"/>
      <c r="DG131" s="417"/>
      <c r="DH131" s="417"/>
      <c r="DI131" s="417"/>
      <c r="DJ131" s="417"/>
      <c r="DK131" s="417"/>
      <c r="DL131" s="417"/>
      <c r="DM131" s="417"/>
      <c r="DN131" s="417"/>
      <c r="DO131" s="417"/>
      <c r="DP131" s="417"/>
      <c r="DQ131" s="417"/>
      <c r="DR131" s="417"/>
      <c r="DS131" s="417"/>
      <c r="DT131" s="417"/>
      <c r="DU131" s="417"/>
      <c r="DV131" s="417"/>
      <c r="DW131" s="417"/>
      <c r="DX131" s="417"/>
      <c r="DY131" s="417"/>
      <c r="DZ131" s="417"/>
      <c r="EA131" s="417"/>
      <c r="EB131" s="417"/>
      <c r="EC131" s="417"/>
      <c r="ED131" s="417"/>
      <c r="EE131" s="417"/>
      <c r="EF131" s="417"/>
      <c r="EG131" s="417"/>
      <c r="EH131" s="417"/>
      <c r="EI131" s="417"/>
      <c r="EJ131" s="417"/>
      <c r="EK131" s="417"/>
      <c r="EL131" s="417"/>
      <c r="EM131" s="417"/>
      <c r="EN131" s="417"/>
      <c r="EO131" s="417"/>
      <c r="EP131" s="417"/>
      <c r="EQ131" s="417"/>
      <c r="ER131" s="417"/>
      <c r="ES131" s="417"/>
      <c r="ET131" s="417"/>
      <c r="EU131" s="417"/>
      <c r="EV131" s="417"/>
      <c r="EW131" s="417"/>
      <c r="EX131" s="417"/>
      <c r="EY131" s="417"/>
      <c r="EZ131" s="417"/>
      <c r="FA131" s="417"/>
      <c r="FB131" s="417"/>
      <c r="FC131" s="417"/>
      <c r="FD131" s="417"/>
      <c r="FE131" s="417"/>
      <c r="FF131" s="417"/>
      <c r="FG131" s="417"/>
      <c r="FH131" s="417"/>
      <c r="FI131" s="417"/>
      <c r="FJ131" s="417"/>
      <c r="FK131" s="417"/>
      <c r="FL131" s="417"/>
      <c r="FM131" s="417"/>
      <c r="FN131" s="417"/>
      <c r="FO131" s="417"/>
      <c r="FP131" s="417"/>
      <c r="FQ131" s="417"/>
      <c r="FR131" s="417"/>
      <c r="FS131" s="417"/>
      <c r="FT131" s="417"/>
      <c r="FU131" s="417"/>
      <c r="FV131" s="417"/>
      <c r="FW131" s="417"/>
      <c r="FX131" s="417"/>
      <c r="FY131" s="417"/>
      <c r="FZ131" s="417"/>
      <c r="GA131" s="417"/>
      <c r="GB131" s="417"/>
      <c r="GC131" s="417"/>
      <c r="GD131" s="417"/>
      <c r="GE131" s="417"/>
      <c r="GF131" s="417"/>
      <c r="GG131" s="417"/>
      <c r="GH131" s="417"/>
      <c r="GI131" s="417"/>
      <c r="GJ131" s="417"/>
      <c r="GK131" s="417"/>
      <c r="GL131" s="417"/>
      <c r="GM131" s="417"/>
      <c r="GN131" s="417"/>
      <c r="GO131" s="417"/>
      <c r="GP131" s="417"/>
      <c r="GQ131" s="417"/>
      <c r="GR131" s="417"/>
      <c r="GS131" s="417"/>
      <c r="GT131" s="417"/>
      <c r="GU131" s="417"/>
      <c r="GV131" s="417"/>
      <c r="GW131" s="417"/>
      <c r="GX131" s="417"/>
      <c r="GY131" s="417"/>
      <c r="GZ131" s="417"/>
      <c r="HA131" s="417"/>
      <c r="HB131" s="417"/>
      <c r="HC131" s="417"/>
      <c r="HD131" s="417"/>
      <c r="HE131" s="417"/>
      <c r="HF131" s="417"/>
      <c r="HG131" s="417"/>
      <c r="HH131" s="417"/>
      <c r="HI131" s="417"/>
      <c r="HJ131" s="417"/>
      <c r="HK131" s="417"/>
      <c r="HL131" s="417"/>
      <c r="HM131" s="417"/>
      <c r="HN131" s="417"/>
      <c r="HO131" s="417"/>
      <c r="HP131" s="417"/>
      <c r="HQ131" s="417"/>
      <c r="HR131" s="417"/>
      <c r="HS131" s="417"/>
      <c r="HT131" s="417"/>
      <c r="HU131" s="417"/>
      <c r="HV131" s="417"/>
      <c r="HW131" s="417"/>
      <c r="HX131" s="417"/>
      <c r="HY131" s="417"/>
      <c r="HZ131" s="417"/>
      <c r="IA131" s="417"/>
      <c r="IB131" s="417"/>
      <c r="IC131" s="417"/>
      <c r="ID131" s="417"/>
      <c r="IE131" s="417"/>
      <c r="IF131" s="417"/>
      <c r="IG131" s="417"/>
      <c r="IH131" s="417"/>
      <c r="II131" s="417"/>
    </row>
  </sheetData>
  <sheetProtection/>
  <mergeCells count="9">
    <mergeCell ref="S8:S9"/>
    <mergeCell ref="V8:W8"/>
    <mergeCell ref="V9:W9"/>
    <mergeCell ref="B2:Q2"/>
    <mergeCell ref="B3:Q3"/>
    <mergeCell ref="B4:Q4"/>
    <mergeCell ref="B5:Q5"/>
    <mergeCell ref="B6:C6"/>
    <mergeCell ref="B8:B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158"/>
  <sheetViews>
    <sheetView zoomScalePageLayoutView="0" workbookViewId="0" topLeftCell="A103">
      <selection activeCell="N137" sqref="N137"/>
    </sheetView>
  </sheetViews>
  <sheetFormatPr defaultColWidth="11.421875" defaultRowHeight="15" outlineLevelCol="1"/>
  <cols>
    <col min="1" max="2" width="11.421875" style="66" customWidth="1"/>
    <col min="3" max="3" width="24.28125" style="66" bestFit="1" customWidth="1"/>
    <col min="4" max="4" width="11.421875" style="66" customWidth="1"/>
    <col min="5" max="5" width="18.421875" style="66" hidden="1" customWidth="1" outlineLevel="1"/>
    <col min="6" max="6" width="22.7109375" style="66" hidden="1" customWidth="1" outlineLevel="1"/>
    <col min="7" max="7" width="25.7109375" style="66" hidden="1" customWidth="1" outlineLevel="1"/>
    <col min="8" max="8" width="22.28125" style="66" hidden="1" customWidth="1" outlineLevel="1"/>
    <col min="9" max="9" width="21.8515625" style="66" bestFit="1" customWidth="1" collapsed="1"/>
    <col min="10" max="16384" width="11.421875" style="66" customWidth="1"/>
  </cols>
  <sheetData>
    <row r="1" ht="14.25">
      <c r="A1" s="66" t="s">
        <v>319</v>
      </c>
    </row>
    <row r="2" ht="14.25">
      <c r="A2" s="66" t="s">
        <v>320</v>
      </c>
    </row>
    <row r="3" ht="14.25">
      <c r="A3" s="66" t="s">
        <v>321</v>
      </c>
    </row>
    <row r="5" spans="1:9" ht="14.25">
      <c r="A5" s="66" t="s">
        <v>322</v>
      </c>
      <c r="B5" s="66" t="s">
        <v>323</v>
      </c>
      <c r="C5" s="66" t="s">
        <v>324</v>
      </c>
      <c r="D5" s="66" t="s">
        <v>325</v>
      </c>
      <c r="E5" s="66" t="s">
        <v>326</v>
      </c>
      <c r="F5" s="66" t="s">
        <v>327</v>
      </c>
      <c r="G5" s="66" t="s">
        <v>328</v>
      </c>
      <c r="H5" s="66" t="s">
        <v>329</v>
      </c>
      <c r="I5" s="66" t="s">
        <v>330</v>
      </c>
    </row>
    <row r="6" spans="1:9" ht="14.25">
      <c r="A6" s="66">
        <v>2000</v>
      </c>
      <c r="B6" s="66">
        <v>1110060100</v>
      </c>
      <c r="C6" s="66" t="s">
        <v>331</v>
      </c>
      <c r="D6" s="66" t="s">
        <v>332</v>
      </c>
      <c r="E6" s="469">
        <v>2502958401</v>
      </c>
      <c r="F6" s="66">
        <v>0</v>
      </c>
      <c r="G6" s="469">
        <v>1950827638</v>
      </c>
      <c r="H6" s="469">
        <v>2544968117</v>
      </c>
      <c r="I6" s="469">
        <v>1908817922</v>
      </c>
    </row>
    <row r="7" spans="1:9" ht="14.25">
      <c r="A7" s="66">
        <v>2000</v>
      </c>
      <c r="B7" s="66">
        <v>1110060101</v>
      </c>
      <c r="C7" s="66" t="s">
        <v>331</v>
      </c>
      <c r="D7" s="66" t="s">
        <v>332</v>
      </c>
      <c r="E7" s="66">
        <v>0</v>
      </c>
      <c r="F7" s="66">
        <v>0</v>
      </c>
      <c r="G7" s="469">
        <v>1971593519</v>
      </c>
      <c r="H7" s="469">
        <v>1971593519</v>
      </c>
      <c r="I7" s="66">
        <v>0</v>
      </c>
    </row>
    <row r="8" spans="1:9" ht="14.25">
      <c r="A8" s="66">
        <v>2000</v>
      </c>
      <c r="B8" s="66">
        <v>1110060103</v>
      </c>
      <c r="C8" s="66" t="s">
        <v>331</v>
      </c>
      <c r="D8" s="66" t="s">
        <v>332</v>
      </c>
      <c r="E8" s="66">
        <v>0</v>
      </c>
      <c r="F8" s="66">
        <v>0</v>
      </c>
      <c r="G8" s="469">
        <v>2544971821</v>
      </c>
      <c r="H8" s="469">
        <v>2544971821</v>
      </c>
      <c r="I8" s="66">
        <v>0</v>
      </c>
    </row>
    <row r="9" spans="1:9" ht="14.25">
      <c r="A9" s="66">
        <v>2000</v>
      </c>
      <c r="B9" s="66">
        <v>1110060104</v>
      </c>
      <c r="C9" s="66" t="s">
        <v>331</v>
      </c>
      <c r="D9" s="66" t="s">
        <v>332</v>
      </c>
      <c r="E9" s="66">
        <v>0</v>
      </c>
      <c r="F9" s="66">
        <v>0</v>
      </c>
      <c r="G9" s="469">
        <v>36457234</v>
      </c>
      <c r="H9" s="469">
        <v>36457234</v>
      </c>
      <c r="I9" s="66">
        <v>0</v>
      </c>
    </row>
    <row r="10" spans="1:9" ht="14.25">
      <c r="A10" s="66">
        <v>2000</v>
      </c>
      <c r="B10" s="66">
        <v>1110065100</v>
      </c>
      <c r="C10" s="66" t="s">
        <v>333</v>
      </c>
      <c r="D10" s="66" t="s">
        <v>332</v>
      </c>
      <c r="E10" s="469">
        <v>3480141898</v>
      </c>
      <c r="F10" s="66">
        <v>0</v>
      </c>
      <c r="G10" s="469">
        <v>3931093619</v>
      </c>
      <c r="H10" s="469">
        <v>5933196794</v>
      </c>
      <c r="I10" s="469">
        <v>1478038723</v>
      </c>
    </row>
    <row r="11" spans="1:9" ht="14.25">
      <c r="A11" s="66">
        <v>2000</v>
      </c>
      <c r="B11" s="66">
        <v>1110065101</v>
      </c>
      <c r="C11" s="66" t="s">
        <v>333</v>
      </c>
      <c r="D11" s="66" t="s">
        <v>332</v>
      </c>
      <c r="E11" s="66">
        <v>0</v>
      </c>
      <c r="F11" s="66">
        <v>0</v>
      </c>
      <c r="G11" s="469">
        <v>3973786547</v>
      </c>
      <c r="H11" s="469">
        <v>3973786547</v>
      </c>
      <c r="I11" s="66">
        <v>0</v>
      </c>
    </row>
    <row r="12" spans="1:9" ht="14.25">
      <c r="A12" s="66">
        <v>2000</v>
      </c>
      <c r="B12" s="66">
        <v>1110065103</v>
      </c>
      <c r="C12" s="66" t="s">
        <v>333</v>
      </c>
      <c r="D12" s="66" t="s">
        <v>332</v>
      </c>
      <c r="E12" s="66">
        <v>0</v>
      </c>
      <c r="F12" s="66">
        <v>0</v>
      </c>
      <c r="G12" s="469">
        <v>6076372586</v>
      </c>
      <c r="H12" s="469">
        <v>6076372586</v>
      </c>
      <c r="I12" s="66">
        <v>0</v>
      </c>
    </row>
    <row r="13" spans="1:9" ht="14.25">
      <c r="A13" s="66">
        <v>2000</v>
      </c>
      <c r="B13" s="66">
        <v>1110065104</v>
      </c>
      <c r="C13" s="66" t="s">
        <v>333</v>
      </c>
      <c r="D13" s="66" t="s">
        <v>332</v>
      </c>
      <c r="E13" s="66">
        <v>0</v>
      </c>
      <c r="F13" s="66">
        <v>0</v>
      </c>
      <c r="G13" s="469">
        <v>36659106</v>
      </c>
      <c r="H13" s="469">
        <v>36659106</v>
      </c>
      <c r="I13" s="66">
        <v>0</v>
      </c>
    </row>
    <row r="14" spans="1:9" ht="14.25">
      <c r="A14" s="66">
        <v>2000</v>
      </c>
      <c r="B14" s="66">
        <v>1110065200</v>
      </c>
      <c r="C14" s="66" t="s">
        <v>333</v>
      </c>
      <c r="D14" s="66" t="s">
        <v>332</v>
      </c>
      <c r="E14" s="469">
        <v>50435147</v>
      </c>
      <c r="F14" s="66">
        <v>0</v>
      </c>
      <c r="G14" s="469">
        <v>23104153</v>
      </c>
      <c r="H14" s="469">
        <v>2081410</v>
      </c>
      <c r="I14" s="469">
        <v>71457890</v>
      </c>
    </row>
    <row r="15" spans="1:9" ht="14.25">
      <c r="A15" s="66">
        <v>2000</v>
      </c>
      <c r="B15" s="66">
        <v>1110065201</v>
      </c>
      <c r="C15" s="66" t="s">
        <v>333</v>
      </c>
      <c r="D15" s="66" t="s">
        <v>332</v>
      </c>
      <c r="E15" s="66">
        <v>0</v>
      </c>
      <c r="F15" s="66">
        <v>0</v>
      </c>
      <c r="G15" s="469">
        <v>21613171</v>
      </c>
      <c r="H15" s="469">
        <v>21613171</v>
      </c>
      <c r="I15" s="66">
        <v>0</v>
      </c>
    </row>
    <row r="16" spans="1:9" ht="14.25">
      <c r="A16" s="66">
        <v>2000</v>
      </c>
      <c r="B16" s="66">
        <v>1110065203</v>
      </c>
      <c r="C16" s="66" t="s">
        <v>333</v>
      </c>
      <c r="D16" s="66" t="s">
        <v>332</v>
      </c>
      <c r="E16" s="66">
        <v>0</v>
      </c>
      <c r="F16" s="66">
        <v>0</v>
      </c>
      <c r="G16" s="469">
        <v>100000</v>
      </c>
      <c r="H16" s="469">
        <v>100000</v>
      </c>
      <c r="I16" s="66">
        <v>0</v>
      </c>
    </row>
    <row r="17" spans="1:9" ht="14.25">
      <c r="A17" s="66">
        <v>2000</v>
      </c>
      <c r="B17" s="66">
        <v>1110065204</v>
      </c>
      <c r="C17" s="66" t="s">
        <v>333</v>
      </c>
      <c r="D17" s="66" t="s">
        <v>332</v>
      </c>
      <c r="E17" s="66">
        <v>0</v>
      </c>
      <c r="F17" s="66">
        <v>0</v>
      </c>
      <c r="G17" s="469">
        <v>73486</v>
      </c>
      <c r="H17" s="469">
        <v>73486</v>
      </c>
      <c r="I17" s="66">
        <v>0</v>
      </c>
    </row>
    <row r="18" spans="1:9" ht="14.25">
      <c r="A18" s="66">
        <v>2000</v>
      </c>
      <c r="B18" s="66">
        <v>1133010000</v>
      </c>
      <c r="C18" s="66" t="s">
        <v>334</v>
      </c>
      <c r="D18" s="66" t="s">
        <v>332</v>
      </c>
      <c r="E18" s="469">
        <v>7710912275</v>
      </c>
      <c r="F18" s="66">
        <v>0</v>
      </c>
      <c r="G18" s="469">
        <v>23232035173</v>
      </c>
      <c r="H18" s="469">
        <v>20128836593</v>
      </c>
      <c r="I18" s="469">
        <v>10814110855</v>
      </c>
    </row>
    <row r="19" spans="1:9" ht="14.25">
      <c r="A19" s="66">
        <v>2000</v>
      </c>
      <c r="B19" s="66">
        <v>1133019900</v>
      </c>
      <c r="C19" s="66" t="s">
        <v>335</v>
      </c>
      <c r="D19" s="66" t="s">
        <v>332</v>
      </c>
      <c r="E19" s="469">
        <v>193311979</v>
      </c>
      <c r="F19" s="66">
        <v>0</v>
      </c>
      <c r="G19" s="469">
        <v>2835278843</v>
      </c>
      <c r="H19" s="469">
        <v>2752097670</v>
      </c>
      <c r="I19" s="469">
        <v>276493152</v>
      </c>
    </row>
    <row r="20" spans="1:9" ht="14.25">
      <c r="A20" s="66">
        <v>2000</v>
      </c>
      <c r="B20" s="66">
        <v>1313010100</v>
      </c>
      <c r="C20" s="66" t="s">
        <v>336</v>
      </c>
      <c r="D20" s="66" t="s">
        <v>332</v>
      </c>
      <c r="E20" s="469">
        <v>29166120</v>
      </c>
      <c r="F20" s="66">
        <v>0</v>
      </c>
      <c r="G20" s="469">
        <v>5861623479</v>
      </c>
      <c r="H20" s="469">
        <v>5854295914</v>
      </c>
      <c r="I20" s="469">
        <v>36493685</v>
      </c>
    </row>
    <row r="21" spans="1:9" ht="14.25">
      <c r="A21" s="66">
        <v>2000</v>
      </c>
      <c r="B21" s="66">
        <v>1384350100</v>
      </c>
      <c r="C21" s="66" t="s">
        <v>337</v>
      </c>
      <c r="D21" s="66" t="s">
        <v>332</v>
      </c>
      <c r="E21" s="469">
        <v>131317820</v>
      </c>
      <c r="F21" s="66">
        <v>0</v>
      </c>
      <c r="G21" s="469">
        <v>618659376</v>
      </c>
      <c r="H21" s="469">
        <v>643494180</v>
      </c>
      <c r="I21" s="469">
        <v>106483016</v>
      </c>
    </row>
    <row r="22" spans="1:9" ht="14.25">
      <c r="A22" s="66">
        <v>2000</v>
      </c>
      <c r="B22" s="66">
        <v>1384900100</v>
      </c>
      <c r="C22" s="66" t="s">
        <v>338</v>
      </c>
      <c r="D22" s="66" t="s">
        <v>332</v>
      </c>
      <c r="E22" s="66">
        <v>0</v>
      </c>
      <c r="F22" s="66">
        <v>0</v>
      </c>
      <c r="G22" s="469">
        <v>7943543</v>
      </c>
      <c r="H22" s="469">
        <v>4838868</v>
      </c>
      <c r="I22" s="469">
        <v>3104675</v>
      </c>
    </row>
    <row r="23" spans="1:9" ht="14.25">
      <c r="A23" s="66">
        <v>2000</v>
      </c>
      <c r="B23" s="66">
        <v>1655080100</v>
      </c>
      <c r="C23" s="66" t="s">
        <v>339</v>
      </c>
      <c r="D23" s="66" t="s">
        <v>332</v>
      </c>
      <c r="E23" s="469">
        <v>352206320</v>
      </c>
      <c r="F23" s="66">
        <v>0</v>
      </c>
      <c r="G23" s="469">
        <v>105850373</v>
      </c>
      <c r="H23" s="469">
        <v>590900</v>
      </c>
      <c r="I23" s="469">
        <v>457465793</v>
      </c>
    </row>
    <row r="24" spans="1:9" ht="14.25">
      <c r="A24" s="66">
        <v>2000</v>
      </c>
      <c r="B24" s="66">
        <v>1665010100</v>
      </c>
      <c r="C24" s="66" t="s">
        <v>340</v>
      </c>
      <c r="D24" s="66" t="s">
        <v>332</v>
      </c>
      <c r="E24" s="469">
        <v>26209014</v>
      </c>
      <c r="F24" s="66">
        <v>0</v>
      </c>
      <c r="G24" s="469">
        <v>18349800</v>
      </c>
      <c r="H24" s="66">
        <v>0</v>
      </c>
      <c r="I24" s="469">
        <v>44558814</v>
      </c>
    </row>
    <row r="25" spans="1:9" ht="14.25">
      <c r="A25" s="66">
        <v>2000</v>
      </c>
      <c r="B25" s="66">
        <v>1670010100</v>
      </c>
      <c r="C25" s="66" t="s">
        <v>341</v>
      </c>
      <c r="D25" s="66" t="s">
        <v>332</v>
      </c>
      <c r="E25" s="469">
        <v>36790281</v>
      </c>
      <c r="F25" s="66">
        <v>0</v>
      </c>
      <c r="G25" s="469">
        <v>13602930</v>
      </c>
      <c r="H25" s="66">
        <v>0</v>
      </c>
      <c r="I25" s="469">
        <v>50393211</v>
      </c>
    </row>
    <row r="26" spans="1:9" ht="14.25">
      <c r="A26" s="66">
        <v>2000</v>
      </c>
      <c r="B26" s="66">
        <v>1670020100</v>
      </c>
      <c r="C26" s="66" t="s">
        <v>342</v>
      </c>
      <c r="D26" s="66" t="s">
        <v>332</v>
      </c>
      <c r="E26" s="469">
        <v>122384760</v>
      </c>
      <c r="F26" s="66">
        <v>0</v>
      </c>
      <c r="G26" s="469">
        <v>168381200</v>
      </c>
      <c r="H26" s="469">
        <v>80235500</v>
      </c>
      <c r="I26" s="469">
        <v>210530460</v>
      </c>
    </row>
    <row r="27" spans="1:9" ht="14.25">
      <c r="A27" s="66">
        <v>2000</v>
      </c>
      <c r="B27" s="66">
        <v>1685040100</v>
      </c>
      <c r="C27" s="66" t="s">
        <v>339</v>
      </c>
      <c r="D27" s="66" t="s">
        <v>332</v>
      </c>
      <c r="E27" s="469">
        <v>-174209744</v>
      </c>
      <c r="F27" s="66">
        <v>0</v>
      </c>
      <c r="G27" s="66">
        <v>0</v>
      </c>
      <c r="H27" s="469">
        <v>40066179</v>
      </c>
      <c r="I27" s="469">
        <v>-214275923</v>
      </c>
    </row>
    <row r="28" spans="1:9" ht="14.25">
      <c r="A28" s="66">
        <v>2000</v>
      </c>
      <c r="B28" s="66">
        <v>1685060100</v>
      </c>
      <c r="C28" s="66" t="s">
        <v>343</v>
      </c>
      <c r="D28" s="66" t="s">
        <v>332</v>
      </c>
      <c r="E28" s="469">
        <v>-19008674</v>
      </c>
      <c r="F28" s="66">
        <v>0</v>
      </c>
      <c r="G28" s="66">
        <v>0</v>
      </c>
      <c r="H28" s="469">
        <v>14613857</v>
      </c>
      <c r="I28" s="469">
        <v>-33622531</v>
      </c>
    </row>
    <row r="29" spans="1:9" ht="14.25">
      <c r="A29" s="66">
        <v>2000</v>
      </c>
      <c r="B29" s="66">
        <v>1685070100</v>
      </c>
      <c r="C29" s="66" t="s">
        <v>344</v>
      </c>
      <c r="D29" s="66" t="s">
        <v>332</v>
      </c>
      <c r="E29" s="469">
        <v>-121267120</v>
      </c>
      <c r="F29" s="66">
        <v>0</v>
      </c>
      <c r="G29" s="469">
        <v>2350000</v>
      </c>
      <c r="H29" s="469">
        <v>19464105</v>
      </c>
      <c r="I29" s="469">
        <v>-138381225</v>
      </c>
    </row>
    <row r="30" spans="1:9" ht="14.25">
      <c r="A30" s="66">
        <v>2000</v>
      </c>
      <c r="B30" s="66">
        <v>1699999999</v>
      </c>
      <c r="C30" s="66" t="s">
        <v>345</v>
      </c>
      <c r="D30" s="66" t="s">
        <v>332</v>
      </c>
      <c r="E30" s="66">
        <v>0</v>
      </c>
      <c r="F30" s="66">
        <v>0</v>
      </c>
      <c r="G30" s="469">
        <v>726291184</v>
      </c>
      <c r="H30" s="469">
        <v>726291184</v>
      </c>
      <c r="I30" s="66">
        <v>0</v>
      </c>
    </row>
    <row r="31" spans="1:9" ht="14.25">
      <c r="A31" s="66">
        <v>2000</v>
      </c>
      <c r="B31" s="66">
        <v>1906030100</v>
      </c>
      <c r="C31" s="66" t="s">
        <v>346</v>
      </c>
      <c r="D31" s="66" t="s">
        <v>332</v>
      </c>
      <c r="E31" s="66">
        <v>0</v>
      </c>
      <c r="F31" s="66">
        <v>0</v>
      </c>
      <c r="G31" s="469">
        <v>135579959</v>
      </c>
      <c r="H31" s="469">
        <v>135579959</v>
      </c>
      <c r="I31" s="66">
        <v>0</v>
      </c>
    </row>
    <row r="32" spans="1:9" ht="14.25">
      <c r="A32" s="66">
        <v>2000</v>
      </c>
      <c r="B32" s="66">
        <v>1906040100</v>
      </c>
      <c r="C32" s="66" t="s">
        <v>346</v>
      </c>
      <c r="D32" s="66" t="s">
        <v>332</v>
      </c>
      <c r="E32" s="66">
        <v>0</v>
      </c>
      <c r="F32" s="66">
        <v>0</v>
      </c>
      <c r="G32" s="469">
        <v>338413084</v>
      </c>
      <c r="H32" s="469">
        <v>139427987</v>
      </c>
      <c r="I32" s="469">
        <v>198985097</v>
      </c>
    </row>
    <row r="33" spans="1:9" ht="14.25">
      <c r="A33" s="66">
        <v>2000</v>
      </c>
      <c r="B33" s="66">
        <v>1906900200</v>
      </c>
      <c r="C33" s="66" t="s">
        <v>347</v>
      </c>
      <c r="D33" s="66" t="s">
        <v>332</v>
      </c>
      <c r="E33" s="66">
        <v>0</v>
      </c>
      <c r="F33" s="66">
        <v>0</v>
      </c>
      <c r="G33" s="469">
        <v>13487447</v>
      </c>
      <c r="H33" s="469">
        <v>13487447</v>
      </c>
      <c r="I33" s="66">
        <v>0</v>
      </c>
    </row>
    <row r="34" spans="1:9" ht="14.25">
      <c r="A34" s="66">
        <v>2000</v>
      </c>
      <c r="B34" s="66">
        <v>1970070100</v>
      </c>
      <c r="C34" s="66" t="s">
        <v>348</v>
      </c>
      <c r="D34" s="66" t="s">
        <v>332</v>
      </c>
      <c r="E34" s="469">
        <v>194846524</v>
      </c>
      <c r="F34" s="66">
        <v>0</v>
      </c>
      <c r="G34" s="469">
        <v>118514338</v>
      </c>
      <c r="H34" s="469">
        <v>135697608</v>
      </c>
      <c r="I34" s="469">
        <v>177663254</v>
      </c>
    </row>
    <row r="35" spans="1:9" ht="14.25">
      <c r="A35" s="66">
        <v>2000</v>
      </c>
      <c r="B35" s="66">
        <v>1975070100</v>
      </c>
      <c r="C35" s="66" t="s">
        <v>348</v>
      </c>
      <c r="D35" s="66" t="s">
        <v>332</v>
      </c>
      <c r="E35" s="469">
        <v>-147538247</v>
      </c>
      <c r="F35" s="66">
        <v>0</v>
      </c>
      <c r="G35" s="469">
        <v>97108057</v>
      </c>
      <c r="H35" s="469">
        <v>30805272</v>
      </c>
      <c r="I35" s="469">
        <v>-81235462</v>
      </c>
    </row>
    <row r="36" spans="1:9" ht="14.25">
      <c r="A36" s="66">
        <v>2000</v>
      </c>
      <c r="B36" s="66">
        <v>2401010200</v>
      </c>
      <c r="C36" s="66" t="s">
        <v>349</v>
      </c>
      <c r="D36" s="66" t="s">
        <v>332</v>
      </c>
      <c r="E36" s="469">
        <v>-36953467</v>
      </c>
      <c r="F36" s="66">
        <v>0</v>
      </c>
      <c r="G36" s="469">
        <v>4950411948</v>
      </c>
      <c r="H36" s="469">
        <v>5209967207</v>
      </c>
      <c r="I36" s="469">
        <v>-296508726</v>
      </c>
    </row>
    <row r="37" spans="1:9" ht="14.25">
      <c r="A37" s="66">
        <v>2000</v>
      </c>
      <c r="B37" s="66">
        <v>2407090100</v>
      </c>
      <c r="C37" s="66" t="s">
        <v>336</v>
      </c>
      <c r="D37" s="66" t="s">
        <v>332</v>
      </c>
      <c r="E37" s="469">
        <v>-128183952</v>
      </c>
      <c r="F37" s="66">
        <v>0</v>
      </c>
      <c r="G37" s="469">
        <v>457856722</v>
      </c>
      <c r="H37" s="469">
        <v>512279245</v>
      </c>
      <c r="I37" s="469">
        <v>-182606475</v>
      </c>
    </row>
    <row r="38" spans="1:9" ht="14.25">
      <c r="A38" s="66">
        <v>2000</v>
      </c>
      <c r="B38" s="66">
        <v>2407900100</v>
      </c>
      <c r="C38" s="66" t="s">
        <v>350</v>
      </c>
      <c r="D38" s="66" t="s">
        <v>332</v>
      </c>
      <c r="E38" s="469">
        <v>-400000</v>
      </c>
      <c r="F38" s="66">
        <v>0</v>
      </c>
      <c r="G38" s="469">
        <v>2368330</v>
      </c>
      <c r="H38" s="469">
        <v>1968330</v>
      </c>
      <c r="I38" s="66">
        <v>0</v>
      </c>
    </row>
    <row r="39" spans="1:9" ht="14.25">
      <c r="A39" s="66">
        <v>2000</v>
      </c>
      <c r="B39" s="66">
        <v>2424010100</v>
      </c>
      <c r="C39" s="66" t="s">
        <v>351</v>
      </c>
      <c r="D39" s="66" t="s">
        <v>332</v>
      </c>
      <c r="E39" s="469">
        <v>-21561400</v>
      </c>
      <c r="F39" s="66">
        <v>0</v>
      </c>
      <c r="G39" s="469">
        <v>231549700</v>
      </c>
      <c r="H39" s="469">
        <v>209988300</v>
      </c>
      <c r="I39" s="66">
        <v>0</v>
      </c>
    </row>
    <row r="40" spans="1:9" ht="14.25">
      <c r="A40" s="66">
        <v>2000</v>
      </c>
      <c r="B40" s="66">
        <v>2424020100</v>
      </c>
      <c r="C40" s="66" t="s">
        <v>352</v>
      </c>
      <c r="D40" s="66" t="s">
        <v>332</v>
      </c>
      <c r="E40" s="469">
        <v>-16666200</v>
      </c>
      <c r="F40" s="66">
        <v>0</v>
      </c>
      <c r="G40" s="469">
        <v>187217100</v>
      </c>
      <c r="H40" s="469">
        <v>170550900</v>
      </c>
      <c r="I40" s="66">
        <v>0</v>
      </c>
    </row>
    <row r="41" spans="1:9" ht="14.25">
      <c r="A41" s="66">
        <v>2000</v>
      </c>
      <c r="B41" s="66">
        <v>2424050300</v>
      </c>
      <c r="C41" s="66" t="s">
        <v>353</v>
      </c>
      <c r="D41" s="66" t="s">
        <v>332</v>
      </c>
      <c r="E41" s="66">
        <v>0</v>
      </c>
      <c r="F41" s="66">
        <v>0</v>
      </c>
      <c r="G41" s="469">
        <v>5479146</v>
      </c>
      <c r="H41" s="469">
        <v>5479146</v>
      </c>
      <c r="I41" s="66">
        <v>0</v>
      </c>
    </row>
    <row r="42" spans="1:9" ht="14.25">
      <c r="A42" s="66">
        <v>2000</v>
      </c>
      <c r="B42" s="66">
        <v>2424070100</v>
      </c>
      <c r="C42" s="66" t="s">
        <v>354</v>
      </c>
      <c r="D42" s="66" t="s">
        <v>332</v>
      </c>
      <c r="E42" s="66">
        <v>0</v>
      </c>
      <c r="F42" s="66">
        <v>0</v>
      </c>
      <c r="G42" s="469">
        <v>32072663</v>
      </c>
      <c r="H42" s="469">
        <v>32072663</v>
      </c>
      <c r="I42" s="66">
        <v>0</v>
      </c>
    </row>
    <row r="43" spans="1:9" ht="14.25">
      <c r="A43" s="66">
        <v>2000</v>
      </c>
      <c r="B43" s="66">
        <v>2424110100</v>
      </c>
      <c r="C43" s="66" t="s">
        <v>355</v>
      </c>
      <c r="D43" s="66" t="s">
        <v>332</v>
      </c>
      <c r="E43" s="66">
        <v>0</v>
      </c>
      <c r="F43" s="66">
        <v>0</v>
      </c>
      <c r="G43" s="469">
        <v>1081237</v>
      </c>
      <c r="H43" s="469">
        <v>1081237</v>
      </c>
      <c r="I43" s="66">
        <v>0</v>
      </c>
    </row>
    <row r="44" spans="1:9" ht="14.25">
      <c r="A44" s="66">
        <v>2000</v>
      </c>
      <c r="B44" s="66">
        <v>2436030200</v>
      </c>
      <c r="C44" s="66" t="s">
        <v>356</v>
      </c>
      <c r="D44" s="66" t="s">
        <v>332</v>
      </c>
      <c r="E44" s="66">
        <v>0</v>
      </c>
      <c r="F44" s="66">
        <v>0</v>
      </c>
      <c r="G44" s="469">
        <v>44966564</v>
      </c>
      <c r="H44" s="469">
        <v>44966564</v>
      </c>
      <c r="I44" s="66">
        <v>0</v>
      </c>
    </row>
    <row r="45" spans="1:9" ht="14.25">
      <c r="A45" s="66">
        <v>2000</v>
      </c>
      <c r="B45" s="66">
        <v>2436050100</v>
      </c>
      <c r="C45" s="66" t="s">
        <v>357</v>
      </c>
      <c r="D45" s="66" t="s">
        <v>332</v>
      </c>
      <c r="E45" s="66">
        <v>0</v>
      </c>
      <c r="F45" s="66">
        <v>0</v>
      </c>
      <c r="G45" s="469">
        <v>280560</v>
      </c>
      <c r="H45" s="469">
        <v>280560</v>
      </c>
      <c r="I45" s="66">
        <v>0</v>
      </c>
    </row>
    <row r="46" spans="1:9" ht="14.25">
      <c r="A46" s="66">
        <v>2000</v>
      </c>
      <c r="B46" s="66">
        <v>2436050400</v>
      </c>
      <c r="C46" s="66" t="s">
        <v>358</v>
      </c>
      <c r="D46" s="66" t="s">
        <v>332</v>
      </c>
      <c r="E46" s="66">
        <v>0</v>
      </c>
      <c r="F46" s="66">
        <v>0</v>
      </c>
      <c r="G46" s="469">
        <v>5196596</v>
      </c>
      <c r="H46" s="469">
        <v>5196596</v>
      </c>
      <c r="I46" s="66">
        <v>0</v>
      </c>
    </row>
    <row r="47" spans="1:9" ht="14.25">
      <c r="A47" s="66">
        <v>2000</v>
      </c>
      <c r="B47" s="66">
        <v>2436050700</v>
      </c>
      <c r="C47" s="66" t="s">
        <v>359</v>
      </c>
      <c r="D47" s="66" t="s">
        <v>332</v>
      </c>
      <c r="E47" s="66">
        <v>0</v>
      </c>
      <c r="F47" s="66">
        <v>0</v>
      </c>
      <c r="G47" s="469">
        <v>3172282</v>
      </c>
      <c r="H47" s="469">
        <v>3172282</v>
      </c>
      <c r="I47" s="66">
        <v>0</v>
      </c>
    </row>
    <row r="48" spans="1:9" ht="14.25">
      <c r="A48" s="66">
        <v>2000</v>
      </c>
      <c r="B48" s="66">
        <v>2436050800</v>
      </c>
      <c r="C48" s="66" t="s">
        <v>360</v>
      </c>
      <c r="D48" s="66" t="s">
        <v>332</v>
      </c>
      <c r="E48" s="66">
        <v>0</v>
      </c>
      <c r="F48" s="66">
        <v>0</v>
      </c>
      <c r="G48" s="469">
        <v>2993523</v>
      </c>
      <c r="H48" s="469">
        <v>2993523</v>
      </c>
      <c r="I48" s="66">
        <v>0</v>
      </c>
    </row>
    <row r="49" spans="1:9" ht="14.25">
      <c r="A49" s="66">
        <v>2000</v>
      </c>
      <c r="B49" s="66">
        <v>2436050900</v>
      </c>
      <c r="C49" s="66" t="s">
        <v>361</v>
      </c>
      <c r="D49" s="66" t="s">
        <v>332</v>
      </c>
      <c r="E49" s="66">
        <v>0</v>
      </c>
      <c r="F49" s="66">
        <v>0</v>
      </c>
      <c r="G49" s="469">
        <v>91120</v>
      </c>
      <c r="H49" s="469">
        <v>91120</v>
      </c>
      <c r="I49" s="66">
        <v>0</v>
      </c>
    </row>
    <row r="50" spans="1:9" ht="14.25">
      <c r="A50" s="66">
        <v>2000</v>
      </c>
      <c r="B50" s="66">
        <v>2436060100</v>
      </c>
      <c r="C50" s="66" t="s">
        <v>362</v>
      </c>
      <c r="D50" s="66" t="s">
        <v>332</v>
      </c>
      <c r="E50" s="66">
        <v>0</v>
      </c>
      <c r="F50" s="66">
        <v>0</v>
      </c>
      <c r="G50" s="469">
        <v>2185</v>
      </c>
      <c r="H50" s="469">
        <v>2185</v>
      </c>
      <c r="I50" s="66">
        <v>0</v>
      </c>
    </row>
    <row r="51" spans="1:9" ht="14.25">
      <c r="A51" s="66">
        <v>2000</v>
      </c>
      <c r="B51" s="66">
        <v>2436080200</v>
      </c>
      <c r="C51" s="66" t="s">
        <v>363</v>
      </c>
      <c r="D51" s="66" t="s">
        <v>332</v>
      </c>
      <c r="E51" s="66">
        <v>0</v>
      </c>
      <c r="F51" s="66">
        <v>0</v>
      </c>
      <c r="G51" s="469">
        <v>8367188</v>
      </c>
      <c r="H51" s="469">
        <v>8367188</v>
      </c>
      <c r="I51" s="66">
        <v>0</v>
      </c>
    </row>
    <row r="52" spans="1:9" ht="14.25">
      <c r="A52" s="66">
        <v>2000</v>
      </c>
      <c r="B52" s="66">
        <v>2436080300</v>
      </c>
      <c r="C52" s="66" t="s">
        <v>364</v>
      </c>
      <c r="D52" s="66" t="s">
        <v>332</v>
      </c>
      <c r="E52" s="66">
        <v>0</v>
      </c>
      <c r="F52" s="66">
        <v>0</v>
      </c>
      <c r="G52" s="469">
        <v>10536432</v>
      </c>
      <c r="H52" s="469">
        <v>10536432</v>
      </c>
      <c r="I52" s="66">
        <v>0</v>
      </c>
    </row>
    <row r="53" spans="1:9" ht="14.25">
      <c r="A53" s="66">
        <v>2000</v>
      </c>
      <c r="B53" s="66">
        <v>2436150100</v>
      </c>
      <c r="C53" s="66" t="s">
        <v>365</v>
      </c>
      <c r="D53" s="66" t="s">
        <v>332</v>
      </c>
      <c r="E53" s="66">
        <v>0</v>
      </c>
      <c r="F53" s="66">
        <v>0</v>
      </c>
      <c r="G53" s="469">
        <v>5467000</v>
      </c>
      <c r="H53" s="469">
        <v>5467000</v>
      </c>
      <c r="I53" s="66">
        <v>0</v>
      </c>
    </row>
    <row r="54" spans="1:9" ht="14.25">
      <c r="A54" s="66">
        <v>2000</v>
      </c>
      <c r="B54" s="66">
        <v>2436250300</v>
      </c>
      <c r="C54" s="66" t="s">
        <v>366</v>
      </c>
      <c r="D54" s="66" t="s">
        <v>332</v>
      </c>
      <c r="E54" s="66">
        <v>0</v>
      </c>
      <c r="F54" s="66">
        <v>0</v>
      </c>
      <c r="G54" s="469">
        <v>11115</v>
      </c>
      <c r="H54" s="469">
        <v>11115</v>
      </c>
      <c r="I54" s="66">
        <v>0</v>
      </c>
    </row>
    <row r="55" spans="1:9" ht="14.25">
      <c r="A55" s="66">
        <v>2000</v>
      </c>
      <c r="B55" s="66">
        <v>2436250400</v>
      </c>
      <c r="C55" s="66" t="s">
        <v>367</v>
      </c>
      <c r="D55" s="66" t="s">
        <v>332</v>
      </c>
      <c r="E55" s="66">
        <v>0</v>
      </c>
      <c r="F55" s="66">
        <v>0</v>
      </c>
      <c r="G55" s="469">
        <v>11225968</v>
      </c>
      <c r="H55" s="469">
        <v>11225968</v>
      </c>
      <c r="I55" s="66">
        <v>0</v>
      </c>
    </row>
    <row r="56" spans="1:9" ht="14.25">
      <c r="A56" s="66">
        <v>2000</v>
      </c>
      <c r="B56" s="66">
        <v>2436250500</v>
      </c>
      <c r="C56" s="66" t="s">
        <v>368</v>
      </c>
      <c r="D56" s="66" t="s">
        <v>332</v>
      </c>
      <c r="E56" s="66">
        <v>0</v>
      </c>
      <c r="F56" s="66">
        <v>0</v>
      </c>
      <c r="G56" s="469">
        <v>18094964</v>
      </c>
      <c r="H56" s="469">
        <v>18094964</v>
      </c>
      <c r="I56" s="66">
        <v>0</v>
      </c>
    </row>
    <row r="57" spans="1:9" ht="14.25">
      <c r="A57" s="66">
        <v>2000</v>
      </c>
      <c r="B57" s="66">
        <v>2436270100</v>
      </c>
      <c r="C57" s="66" t="s">
        <v>369</v>
      </c>
      <c r="D57" s="66" t="s">
        <v>332</v>
      </c>
      <c r="E57" s="66">
        <v>0</v>
      </c>
      <c r="F57" s="66">
        <v>0</v>
      </c>
      <c r="G57" s="469">
        <v>11868</v>
      </c>
      <c r="H57" s="469">
        <v>11868</v>
      </c>
      <c r="I57" s="66">
        <v>0</v>
      </c>
    </row>
    <row r="58" spans="1:9" ht="14.25">
      <c r="A58" s="66">
        <v>2000</v>
      </c>
      <c r="B58" s="66">
        <v>2436270200</v>
      </c>
      <c r="C58" s="66" t="s">
        <v>370</v>
      </c>
      <c r="D58" s="66" t="s">
        <v>332</v>
      </c>
      <c r="E58" s="66">
        <v>0</v>
      </c>
      <c r="F58" s="66">
        <v>0</v>
      </c>
      <c r="G58" s="469">
        <v>4542593</v>
      </c>
      <c r="H58" s="469">
        <v>4542593</v>
      </c>
      <c r="I58" s="66">
        <v>0</v>
      </c>
    </row>
    <row r="59" spans="1:9" ht="14.25">
      <c r="A59" s="66">
        <v>2000</v>
      </c>
      <c r="B59" s="66">
        <v>2436270300</v>
      </c>
      <c r="C59" s="66" t="s">
        <v>371</v>
      </c>
      <c r="D59" s="66" t="s">
        <v>332</v>
      </c>
      <c r="E59" s="66">
        <v>0</v>
      </c>
      <c r="F59" s="66">
        <v>0</v>
      </c>
      <c r="G59" s="469">
        <v>983373</v>
      </c>
      <c r="H59" s="469">
        <v>983373</v>
      </c>
      <c r="I59" s="66">
        <v>0</v>
      </c>
    </row>
    <row r="60" spans="1:9" ht="14.25">
      <c r="A60" s="66">
        <v>2000</v>
      </c>
      <c r="B60" s="66">
        <v>2436270400</v>
      </c>
      <c r="C60" s="66" t="s">
        <v>372</v>
      </c>
      <c r="D60" s="66" t="s">
        <v>332</v>
      </c>
      <c r="E60" s="66">
        <v>0</v>
      </c>
      <c r="F60" s="66">
        <v>0</v>
      </c>
      <c r="G60" s="469">
        <v>89774</v>
      </c>
      <c r="H60" s="469">
        <v>89774</v>
      </c>
      <c r="I60" s="66">
        <v>0</v>
      </c>
    </row>
    <row r="61" spans="1:9" ht="14.25">
      <c r="A61" s="66">
        <v>2000</v>
      </c>
      <c r="B61" s="66">
        <v>2436270500</v>
      </c>
      <c r="C61" s="66" t="s">
        <v>373</v>
      </c>
      <c r="D61" s="66" t="s">
        <v>332</v>
      </c>
      <c r="E61" s="66">
        <v>0</v>
      </c>
      <c r="F61" s="66">
        <v>0</v>
      </c>
      <c r="G61" s="469">
        <v>3598915</v>
      </c>
      <c r="H61" s="469">
        <v>3598915</v>
      </c>
      <c r="I61" s="66">
        <v>0</v>
      </c>
    </row>
    <row r="62" spans="1:9" ht="14.25">
      <c r="A62" s="66">
        <v>2000</v>
      </c>
      <c r="B62" s="66">
        <v>2436270700</v>
      </c>
      <c r="C62" s="66" t="s">
        <v>374</v>
      </c>
      <c r="D62" s="66" t="s">
        <v>332</v>
      </c>
      <c r="E62" s="66">
        <v>0</v>
      </c>
      <c r="F62" s="66">
        <v>0</v>
      </c>
      <c r="G62" s="66">
        <v>324</v>
      </c>
      <c r="H62" s="66">
        <v>324</v>
      </c>
      <c r="I62" s="66">
        <v>0</v>
      </c>
    </row>
    <row r="63" spans="1:9" ht="14.25">
      <c r="A63" s="66">
        <v>2000</v>
      </c>
      <c r="B63" s="66">
        <v>2436271300</v>
      </c>
      <c r="C63" s="66" t="s">
        <v>375</v>
      </c>
      <c r="D63" s="66" t="s">
        <v>332</v>
      </c>
      <c r="E63" s="66">
        <v>0</v>
      </c>
      <c r="F63" s="66">
        <v>0</v>
      </c>
      <c r="G63" s="469">
        <v>51500</v>
      </c>
      <c r="H63" s="469">
        <v>51500</v>
      </c>
      <c r="I63" s="66">
        <v>0</v>
      </c>
    </row>
    <row r="64" spans="1:9" ht="14.25">
      <c r="A64" s="66">
        <v>2000</v>
      </c>
      <c r="B64" s="66">
        <v>2436271400</v>
      </c>
      <c r="C64" s="66" t="s">
        <v>376</v>
      </c>
      <c r="D64" s="66" t="s">
        <v>332</v>
      </c>
      <c r="E64" s="66">
        <v>0</v>
      </c>
      <c r="F64" s="66">
        <v>0</v>
      </c>
      <c r="G64" s="469">
        <v>2100</v>
      </c>
      <c r="H64" s="469">
        <v>2100</v>
      </c>
      <c r="I64" s="66">
        <v>0</v>
      </c>
    </row>
    <row r="65" spans="1:9" ht="14.25">
      <c r="A65" s="66">
        <v>2000</v>
      </c>
      <c r="B65" s="66">
        <v>2436272200</v>
      </c>
      <c r="C65" s="66" t="s">
        <v>377</v>
      </c>
      <c r="D65" s="66" t="s">
        <v>332</v>
      </c>
      <c r="E65" s="66">
        <v>0</v>
      </c>
      <c r="F65" s="66">
        <v>0</v>
      </c>
      <c r="G65" s="469">
        <v>2600</v>
      </c>
      <c r="H65" s="469">
        <v>2600</v>
      </c>
      <c r="I65" s="66">
        <v>0</v>
      </c>
    </row>
    <row r="66" spans="1:9" ht="14.25">
      <c r="A66" s="66">
        <v>2000</v>
      </c>
      <c r="B66" s="66">
        <v>2436272300</v>
      </c>
      <c r="C66" s="66" t="s">
        <v>378</v>
      </c>
      <c r="D66" s="66" t="s">
        <v>332</v>
      </c>
      <c r="E66" s="66">
        <v>0</v>
      </c>
      <c r="F66" s="66">
        <v>0</v>
      </c>
      <c r="G66" s="469">
        <v>99730</v>
      </c>
      <c r="H66" s="469">
        <v>99730</v>
      </c>
      <c r="I66" s="66">
        <v>0</v>
      </c>
    </row>
    <row r="67" spans="1:9" ht="14.25">
      <c r="A67" s="66">
        <v>2000</v>
      </c>
      <c r="B67" s="66">
        <v>2436272700</v>
      </c>
      <c r="C67" s="66" t="s">
        <v>377</v>
      </c>
      <c r="D67" s="66" t="s">
        <v>332</v>
      </c>
      <c r="E67" s="66">
        <v>0</v>
      </c>
      <c r="F67" s="66">
        <v>0</v>
      </c>
      <c r="G67" s="469">
        <v>26250</v>
      </c>
      <c r="H67" s="469">
        <v>26250</v>
      </c>
      <c r="I67" s="66">
        <v>0</v>
      </c>
    </row>
    <row r="68" spans="1:9" ht="14.25">
      <c r="A68" s="66">
        <v>2000</v>
      </c>
      <c r="B68" s="66">
        <v>2436272900</v>
      </c>
      <c r="C68" s="66" t="s">
        <v>379</v>
      </c>
      <c r="D68" s="66" t="s">
        <v>332</v>
      </c>
      <c r="E68" s="66">
        <v>0</v>
      </c>
      <c r="F68" s="66">
        <v>0</v>
      </c>
      <c r="G68" s="469">
        <v>402454</v>
      </c>
      <c r="H68" s="469">
        <v>402454</v>
      </c>
      <c r="I68" s="66">
        <v>0</v>
      </c>
    </row>
    <row r="69" spans="1:9" ht="14.25">
      <c r="A69" s="66">
        <v>2000</v>
      </c>
      <c r="B69" s="66">
        <v>2436273100</v>
      </c>
      <c r="C69" s="66" t="s">
        <v>380</v>
      </c>
      <c r="D69" s="66" t="s">
        <v>332</v>
      </c>
      <c r="E69" s="66">
        <v>0</v>
      </c>
      <c r="F69" s="66">
        <v>0</v>
      </c>
      <c r="G69" s="469">
        <v>1743</v>
      </c>
      <c r="H69" s="469">
        <v>1743</v>
      </c>
      <c r="I69" s="66">
        <v>0</v>
      </c>
    </row>
    <row r="70" spans="1:9" ht="14.25">
      <c r="A70" s="66">
        <v>2000</v>
      </c>
      <c r="B70" s="66">
        <v>2436274000</v>
      </c>
      <c r="C70" s="66" t="s">
        <v>381</v>
      </c>
      <c r="D70" s="66" t="s">
        <v>332</v>
      </c>
      <c r="E70" s="66">
        <v>0</v>
      </c>
      <c r="F70" s="66">
        <v>0</v>
      </c>
      <c r="G70" s="469">
        <v>6366</v>
      </c>
      <c r="H70" s="469">
        <v>6366</v>
      </c>
      <c r="I70" s="66">
        <v>0</v>
      </c>
    </row>
    <row r="71" spans="1:9" ht="14.25">
      <c r="A71" s="66">
        <v>2000</v>
      </c>
      <c r="B71" s="66">
        <v>2436274200</v>
      </c>
      <c r="C71" s="66" t="s">
        <v>382</v>
      </c>
      <c r="D71" s="66" t="s">
        <v>332</v>
      </c>
      <c r="E71" s="66">
        <v>0</v>
      </c>
      <c r="F71" s="66">
        <v>0</v>
      </c>
      <c r="G71" s="469">
        <v>5712</v>
      </c>
      <c r="H71" s="469">
        <v>5712</v>
      </c>
      <c r="I71" s="66">
        <v>0</v>
      </c>
    </row>
    <row r="72" spans="1:9" ht="14.25">
      <c r="A72" s="66">
        <v>2000</v>
      </c>
      <c r="B72" s="66">
        <v>2436274400</v>
      </c>
      <c r="C72" s="66" t="s">
        <v>383</v>
      </c>
      <c r="D72" s="66" t="s">
        <v>332</v>
      </c>
      <c r="E72" s="66">
        <v>0</v>
      </c>
      <c r="F72" s="66">
        <v>0</v>
      </c>
      <c r="G72" s="469">
        <v>2522</v>
      </c>
      <c r="H72" s="469">
        <v>2522</v>
      </c>
      <c r="I72" s="66">
        <v>0</v>
      </c>
    </row>
    <row r="73" spans="1:9" ht="14.25">
      <c r="A73" s="66">
        <v>2000</v>
      </c>
      <c r="B73" s="66">
        <v>2436274500</v>
      </c>
      <c r="C73" s="66" t="s">
        <v>384</v>
      </c>
      <c r="D73" s="66" t="s">
        <v>332</v>
      </c>
      <c r="E73" s="66">
        <v>0</v>
      </c>
      <c r="F73" s="66">
        <v>0</v>
      </c>
      <c r="G73" s="469">
        <v>56361</v>
      </c>
      <c r="H73" s="469">
        <v>56361</v>
      </c>
      <c r="I73" s="66">
        <v>0</v>
      </c>
    </row>
    <row r="74" spans="1:9" ht="14.25">
      <c r="A74" s="66">
        <v>2000</v>
      </c>
      <c r="B74" s="66">
        <v>2436275300</v>
      </c>
      <c r="C74" s="66" t="s">
        <v>385</v>
      </c>
      <c r="D74" s="66" t="s">
        <v>332</v>
      </c>
      <c r="E74" s="66">
        <v>0</v>
      </c>
      <c r="F74" s="66">
        <v>0</v>
      </c>
      <c r="G74" s="469">
        <v>49916</v>
      </c>
      <c r="H74" s="469">
        <v>49916</v>
      </c>
      <c r="I74" s="66">
        <v>0</v>
      </c>
    </row>
    <row r="75" spans="1:9" ht="14.25">
      <c r="A75" s="66">
        <v>2000</v>
      </c>
      <c r="B75" s="66">
        <v>2436275400</v>
      </c>
      <c r="C75" s="66" t="s">
        <v>386</v>
      </c>
      <c r="D75" s="66" t="s">
        <v>332</v>
      </c>
      <c r="E75" s="66">
        <v>0</v>
      </c>
      <c r="F75" s="66">
        <v>0</v>
      </c>
      <c r="G75" s="469">
        <v>1125998</v>
      </c>
      <c r="H75" s="469">
        <v>1125998</v>
      </c>
      <c r="I75" s="66">
        <v>0</v>
      </c>
    </row>
    <row r="76" spans="1:9" ht="14.25">
      <c r="A76" s="66">
        <v>2000</v>
      </c>
      <c r="B76" s="66">
        <v>2436275500</v>
      </c>
      <c r="C76" s="66" t="s">
        <v>386</v>
      </c>
      <c r="D76" s="66" t="s">
        <v>332</v>
      </c>
      <c r="E76" s="66">
        <v>0</v>
      </c>
      <c r="F76" s="66">
        <v>0</v>
      </c>
      <c r="G76" s="469">
        <v>425975</v>
      </c>
      <c r="H76" s="469">
        <v>425975</v>
      </c>
      <c r="I76" s="66">
        <v>0</v>
      </c>
    </row>
    <row r="77" spans="1:9" ht="14.25">
      <c r="A77" s="66">
        <v>2000</v>
      </c>
      <c r="B77" s="66">
        <v>2436900100</v>
      </c>
      <c r="C77" s="66" t="s">
        <v>387</v>
      </c>
      <c r="D77" s="66" t="s">
        <v>332</v>
      </c>
      <c r="E77" s="66">
        <v>0</v>
      </c>
      <c r="F77" s="66">
        <v>0</v>
      </c>
      <c r="G77" s="469">
        <v>3467000</v>
      </c>
      <c r="H77" s="469">
        <v>3467000</v>
      </c>
      <c r="I77" s="66">
        <v>0</v>
      </c>
    </row>
    <row r="78" spans="1:9" ht="14.25">
      <c r="A78" s="66">
        <v>2000</v>
      </c>
      <c r="B78" s="66">
        <v>2436990100</v>
      </c>
      <c r="C78" s="66" t="s">
        <v>388</v>
      </c>
      <c r="D78" s="66" t="s">
        <v>332</v>
      </c>
      <c r="E78" s="469">
        <v>-21527836</v>
      </c>
      <c r="F78" s="66">
        <v>0</v>
      </c>
      <c r="G78" s="469">
        <v>91798806</v>
      </c>
      <c r="H78" s="469">
        <v>104434665</v>
      </c>
      <c r="I78" s="469">
        <v>-34163695</v>
      </c>
    </row>
    <row r="79" spans="1:9" ht="14.25">
      <c r="A79" s="66">
        <v>2000</v>
      </c>
      <c r="B79" s="66">
        <v>2436990200</v>
      </c>
      <c r="C79" s="66" t="s">
        <v>389</v>
      </c>
      <c r="D79" s="66" t="s">
        <v>332</v>
      </c>
      <c r="E79" s="469">
        <v>-2534214</v>
      </c>
      <c r="F79" s="66">
        <v>0</v>
      </c>
      <c r="G79" s="469">
        <v>9377344</v>
      </c>
      <c r="H79" s="469">
        <v>6999072</v>
      </c>
      <c r="I79" s="469">
        <v>-155942</v>
      </c>
    </row>
    <row r="80" spans="1:9" ht="14.25">
      <c r="A80" s="66">
        <v>2000</v>
      </c>
      <c r="B80" s="66">
        <v>2490440100</v>
      </c>
      <c r="C80" s="66" t="s">
        <v>337</v>
      </c>
      <c r="D80" s="66" t="s">
        <v>332</v>
      </c>
      <c r="E80" s="469">
        <v>-131317820</v>
      </c>
      <c r="F80" s="66">
        <v>0</v>
      </c>
      <c r="G80" s="469">
        <v>31915656</v>
      </c>
      <c r="H80" s="469">
        <v>7080852</v>
      </c>
      <c r="I80" s="469">
        <v>-106483016</v>
      </c>
    </row>
    <row r="81" spans="1:9" ht="14.25">
      <c r="A81" s="66">
        <v>2000</v>
      </c>
      <c r="B81" s="66">
        <v>2490500100</v>
      </c>
      <c r="C81" s="66" t="s">
        <v>390</v>
      </c>
      <c r="D81" s="66" t="s">
        <v>332</v>
      </c>
      <c r="E81" s="469">
        <v>-17359600</v>
      </c>
      <c r="F81" s="66">
        <v>0</v>
      </c>
      <c r="G81" s="469">
        <v>126962900</v>
      </c>
      <c r="H81" s="469">
        <v>109603300</v>
      </c>
      <c r="I81" s="66">
        <v>0</v>
      </c>
    </row>
    <row r="82" spans="1:9" ht="14.25">
      <c r="A82" s="66">
        <v>2000</v>
      </c>
      <c r="B82" s="66">
        <v>2490900200</v>
      </c>
      <c r="C82" s="66" t="s">
        <v>391</v>
      </c>
      <c r="D82" s="66" t="s">
        <v>332</v>
      </c>
      <c r="E82" s="469">
        <v>-29166120</v>
      </c>
      <c r="F82" s="66">
        <v>0</v>
      </c>
      <c r="G82" s="66">
        <v>0</v>
      </c>
      <c r="H82" s="469">
        <v>7327565</v>
      </c>
      <c r="I82" s="469">
        <v>-36493685</v>
      </c>
    </row>
    <row r="83" spans="1:9" ht="14.25">
      <c r="A83" s="66">
        <v>2000</v>
      </c>
      <c r="B83" s="66">
        <v>2511010100</v>
      </c>
      <c r="C83" s="66" t="s">
        <v>392</v>
      </c>
      <c r="D83" s="66" t="s">
        <v>332</v>
      </c>
      <c r="E83" s="66">
        <v>0</v>
      </c>
      <c r="F83" s="66">
        <v>0</v>
      </c>
      <c r="G83" s="469">
        <v>1178427507</v>
      </c>
      <c r="H83" s="469">
        <v>1181739477</v>
      </c>
      <c r="I83" s="469">
        <v>-3311970</v>
      </c>
    </row>
    <row r="84" spans="1:9" ht="14.25">
      <c r="A84" s="66">
        <v>2000</v>
      </c>
      <c r="B84" s="66">
        <v>2511010200</v>
      </c>
      <c r="C84" s="66" t="s">
        <v>393</v>
      </c>
      <c r="D84" s="66" t="s">
        <v>332</v>
      </c>
      <c r="E84" s="66">
        <v>0</v>
      </c>
      <c r="F84" s="66">
        <v>0</v>
      </c>
      <c r="G84" s="469">
        <v>1721257961</v>
      </c>
      <c r="H84" s="469">
        <v>1721257961</v>
      </c>
      <c r="I84" s="66">
        <v>0</v>
      </c>
    </row>
    <row r="85" spans="1:9" ht="14.25">
      <c r="A85" s="66">
        <v>2000</v>
      </c>
      <c r="B85" s="66">
        <v>2511020100</v>
      </c>
      <c r="C85" s="66" t="s">
        <v>394</v>
      </c>
      <c r="D85" s="66" t="s">
        <v>332</v>
      </c>
      <c r="E85" s="469">
        <v>-2233321</v>
      </c>
      <c r="F85" s="66">
        <v>0</v>
      </c>
      <c r="G85" s="469">
        <v>3046746</v>
      </c>
      <c r="H85" s="469">
        <v>100425594</v>
      </c>
      <c r="I85" s="469">
        <v>-99612169</v>
      </c>
    </row>
    <row r="86" spans="1:9" ht="14.25">
      <c r="A86" s="66">
        <v>2000</v>
      </c>
      <c r="B86" s="66">
        <v>2511030100</v>
      </c>
      <c r="C86" s="66" t="s">
        <v>395</v>
      </c>
      <c r="D86" s="66" t="s">
        <v>332</v>
      </c>
      <c r="E86" s="469">
        <v>-250132</v>
      </c>
      <c r="F86" s="66">
        <v>0</v>
      </c>
      <c r="G86" s="469">
        <v>276412</v>
      </c>
      <c r="H86" s="469">
        <v>5560313</v>
      </c>
      <c r="I86" s="469">
        <v>-5534033</v>
      </c>
    </row>
    <row r="87" spans="1:9" ht="14.25">
      <c r="A87" s="66">
        <v>2000</v>
      </c>
      <c r="B87" s="66">
        <v>2511040100</v>
      </c>
      <c r="C87" s="66" t="s">
        <v>396</v>
      </c>
      <c r="D87" s="66" t="s">
        <v>332</v>
      </c>
      <c r="E87" s="469">
        <v>-3384878</v>
      </c>
      <c r="F87" s="66">
        <v>0</v>
      </c>
      <c r="G87" s="469">
        <v>1522983</v>
      </c>
      <c r="H87" s="469">
        <v>50298472</v>
      </c>
      <c r="I87" s="469">
        <v>-52160367</v>
      </c>
    </row>
    <row r="88" spans="1:9" ht="14.25">
      <c r="A88" s="66">
        <v>2000</v>
      </c>
      <c r="B88" s="66">
        <v>2511060100</v>
      </c>
      <c r="C88" s="66" t="s">
        <v>397</v>
      </c>
      <c r="D88" s="66" t="s">
        <v>332</v>
      </c>
      <c r="E88" s="66">
        <v>0</v>
      </c>
      <c r="F88" s="66">
        <v>0</v>
      </c>
      <c r="G88" s="469">
        <v>82361951</v>
      </c>
      <c r="H88" s="469">
        <v>82361951</v>
      </c>
      <c r="I88" s="66">
        <v>0</v>
      </c>
    </row>
    <row r="89" spans="1:9" ht="14.25">
      <c r="A89" s="66">
        <v>2000</v>
      </c>
      <c r="B89" s="66">
        <v>2511110100</v>
      </c>
      <c r="C89" s="66" t="s">
        <v>398</v>
      </c>
      <c r="D89" s="66" t="s">
        <v>332</v>
      </c>
      <c r="E89" s="469">
        <v>-4327100</v>
      </c>
      <c r="F89" s="66">
        <v>0</v>
      </c>
      <c r="G89" s="469">
        <v>41385400</v>
      </c>
      <c r="H89" s="469">
        <v>37058300</v>
      </c>
      <c r="I89" s="66">
        <v>0</v>
      </c>
    </row>
    <row r="90" spans="1:9" ht="14.25">
      <c r="A90" s="66">
        <v>2000</v>
      </c>
      <c r="B90" s="66">
        <v>3105060100</v>
      </c>
      <c r="C90" s="66" t="s">
        <v>399</v>
      </c>
      <c r="D90" s="66" t="s">
        <v>332</v>
      </c>
      <c r="E90" s="469">
        <v>-8594212704</v>
      </c>
      <c r="F90" s="66">
        <v>0</v>
      </c>
      <c r="G90" s="66">
        <v>0</v>
      </c>
      <c r="H90" s="66">
        <v>0</v>
      </c>
      <c r="I90" s="469">
        <v>-8594212704</v>
      </c>
    </row>
    <row r="91" spans="1:9" ht="14.25">
      <c r="A91" s="66">
        <v>2000</v>
      </c>
      <c r="B91" s="66">
        <v>3105060200</v>
      </c>
      <c r="C91" s="66" t="s">
        <v>400</v>
      </c>
      <c r="D91" s="66" t="s">
        <v>332</v>
      </c>
      <c r="E91" s="469">
        <v>27915431</v>
      </c>
      <c r="F91" s="66">
        <v>0</v>
      </c>
      <c r="G91" s="66">
        <v>0</v>
      </c>
      <c r="H91" s="66">
        <v>0</v>
      </c>
      <c r="I91" s="469">
        <v>27915431</v>
      </c>
    </row>
    <row r="92" spans="1:9" ht="14.25">
      <c r="A92" s="66">
        <v>2000</v>
      </c>
      <c r="B92" s="66">
        <v>3110010100</v>
      </c>
      <c r="C92" s="66" t="s">
        <v>401</v>
      </c>
      <c r="D92" s="66" t="s">
        <v>332</v>
      </c>
      <c r="E92" s="469">
        <v>-5386493441</v>
      </c>
      <c r="F92" s="66">
        <v>0</v>
      </c>
      <c r="G92" s="66">
        <v>0</v>
      </c>
      <c r="H92" s="66">
        <v>0</v>
      </c>
      <c r="I92" s="469">
        <v>-5386493441</v>
      </c>
    </row>
    <row r="93" spans="1:10" ht="14.25">
      <c r="A93" s="470">
        <v>2000</v>
      </c>
      <c r="B93" s="470">
        <v>4115030100</v>
      </c>
      <c r="C93" s="470" t="s">
        <v>402</v>
      </c>
      <c r="D93" s="470" t="s">
        <v>332</v>
      </c>
      <c r="E93" s="470">
        <v>0</v>
      </c>
      <c r="F93" s="470">
        <v>0</v>
      </c>
      <c r="G93" s="471">
        <v>156526045</v>
      </c>
      <c r="H93" s="471">
        <v>5679828359</v>
      </c>
      <c r="I93" s="471">
        <v>-5523302314</v>
      </c>
      <c r="J93" s="66" t="s">
        <v>403</v>
      </c>
    </row>
    <row r="94" spans="1:10" ht="14.25">
      <c r="A94" s="470">
        <v>2000</v>
      </c>
      <c r="B94" s="470">
        <v>4115030200</v>
      </c>
      <c r="C94" s="470" t="s">
        <v>402</v>
      </c>
      <c r="D94" s="470" t="s">
        <v>332</v>
      </c>
      <c r="E94" s="470">
        <v>0</v>
      </c>
      <c r="F94" s="470">
        <v>0</v>
      </c>
      <c r="G94" s="471">
        <v>90317473</v>
      </c>
      <c r="H94" s="471">
        <v>262619712</v>
      </c>
      <c r="I94" s="471">
        <v>-172302239</v>
      </c>
      <c r="J94" s="66" t="s">
        <v>403</v>
      </c>
    </row>
    <row r="95" spans="1:10" ht="14.25">
      <c r="A95" s="470">
        <v>2000</v>
      </c>
      <c r="B95" s="470">
        <v>4428900100</v>
      </c>
      <c r="C95" s="470" t="s">
        <v>404</v>
      </c>
      <c r="D95" s="470" t="s">
        <v>332</v>
      </c>
      <c r="E95" s="470">
        <v>0</v>
      </c>
      <c r="F95" s="470">
        <v>0</v>
      </c>
      <c r="G95" s="470">
        <v>0</v>
      </c>
      <c r="H95" s="471">
        <v>3332000</v>
      </c>
      <c r="I95" s="471">
        <v>-3332000</v>
      </c>
      <c r="J95" s="66" t="s">
        <v>405</v>
      </c>
    </row>
    <row r="96" spans="1:10" ht="14.25">
      <c r="A96" s="470">
        <v>2000</v>
      </c>
      <c r="B96" s="470">
        <v>4802010100</v>
      </c>
      <c r="C96" s="470" t="s">
        <v>406</v>
      </c>
      <c r="D96" s="470" t="s">
        <v>332</v>
      </c>
      <c r="E96" s="470">
        <v>0</v>
      </c>
      <c r="F96" s="470">
        <v>0</v>
      </c>
      <c r="G96" s="471">
        <v>44560096</v>
      </c>
      <c r="H96" s="471">
        <v>784471101</v>
      </c>
      <c r="I96" s="471">
        <v>-739911005</v>
      </c>
      <c r="J96" s="66" t="s">
        <v>403</v>
      </c>
    </row>
    <row r="97" spans="1:10" ht="14.25">
      <c r="A97" s="470">
        <v>2000</v>
      </c>
      <c r="B97" s="470">
        <v>4802330100</v>
      </c>
      <c r="C97" s="470" t="s">
        <v>407</v>
      </c>
      <c r="D97" s="470" t="s">
        <v>332</v>
      </c>
      <c r="E97" s="470">
        <v>0</v>
      </c>
      <c r="F97" s="470">
        <v>0</v>
      </c>
      <c r="G97" s="471">
        <v>768602</v>
      </c>
      <c r="H97" s="471">
        <v>92354989</v>
      </c>
      <c r="I97" s="471">
        <v>-91586387</v>
      </c>
      <c r="J97" s="66" t="s">
        <v>403</v>
      </c>
    </row>
    <row r="98" spans="1:9" ht="14.25">
      <c r="A98" s="470">
        <v>2000</v>
      </c>
      <c r="B98" s="470">
        <v>4808260100</v>
      </c>
      <c r="C98" s="470" t="s">
        <v>408</v>
      </c>
      <c r="D98" s="470" t="s">
        <v>332</v>
      </c>
      <c r="E98" s="470">
        <v>0</v>
      </c>
      <c r="F98" s="470">
        <v>0</v>
      </c>
      <c r="G98" s="471">
        <v>304015</v>
      </c>
      <c r="H98" s="471">
        <v>304015</v>
      </c>
      <c r="I98" s="470">
        <v>0</v>
      </c>
    </row>
    <row r="99" spans="1:9" ht="14.25">
      <c r="A99" s="470">
        <v>2000</v>
      </c>
      <c r="B99" s="470">
        <v>4808260200</v>
      </c>
      <c r="C99" s="470" t="s">
        <v>409</v>
      </c>
      <c r="D99" s="470" t="s">
        <v>332</v>
      </c>
      <c r="E99" s="470">
        <v>0</v>
      </c>
      <c r="F99" s="470">
        <v>0</v>
      </c>
      <c r="G99" s="471">
        <v>4987916</v>
      </c>
      <c r="H99" s="471">
        <v>4987916</v>
      </c>
      <c r="I99" s="470">
        <v>0</v>
      </c>
    </row>
    <row r="100" spans="1:10" ht="14.25">
      <c r="A100" s="470">
        <v>2000</v>
      </c>
      <c r="B100" s="470">
        <v>4808270100</v>
      </c>
      <c r="C100" s="470" t="s">
        <v>410</v>
      </c>
      <c r="D100" s="470" t="s">
        <v>332</v>
      </c>
      <c r="E100" s="470">
        <v>0</v>
      </c>
      <c r="F100" s="470">
        <v>0</v>
      </c>
      <c r="G100" s="471">
        <v>62577</v>
      </c>
      <c r="H100" s="471">
        <v>174883</v>
      </c>
      <c r="I100" s="471">
        <v>-112306</v>
      </c>
      <c r="J100" s="66" t="s">
        <v>403</v>
      </c>
    </row>
    <row r="101" spans="1:10" ht="14.25">
      <c r="A101" s="470">
        <v>2000</v>
      </c>
      <c r="B101" s="470">
        <v>4808630100</v>
      </c>
      <c r="C101" s="470" t="s">
        <v>408</v>
      </c>
      <c r="D101" s="470" t="s">
        <v>332</v>
      </c>
      <c r="E101" s="470">
        <v>0</v>
      </c>
      <c r="F101" s="470">
        <v>0</v>
      </c>
      <c r="G101" s="470">
        <v>0</v>
      </c>
      <c r="H101" s="471">
        <v>3304015</v>
      </c>
      <c r="I101" s="471">
        <v>-3304015</v>
      </c>
      <c r="J101" s="66" t="s">
        <v>403</v>
      </c>
    </row>
    <row r="102" spans="1:10" ht="14.25">
      <c r="A102" s="470">
        <v>2000</v>
      </c>
      <c r="B102" s="470">
        <v>4808630200</v>
      </c>
      <c r="C102" s="470" t="s">
        <v>409</v>
      </c>
      <c r="D102" s="470" t="s">
        <v>332</v>
      </c>
      <c r="E102" s="470">
        <v>0</v>
      </c>
      <c r="F102" s="470">
        <v>0</v>
      </c>
      <c r="G102" s="470">
        <v>0</v>
      </c>
      <c r="H102" s="471">
        <v>4987916</v>
      </c>
      <c r="I102" s="471">
        <v>-4987916</v>
      </c>
      <c r="J102" s="66" t="s">
        <v>403</v>
      </c>
    </row>
    <row r="103" spans="1:10" ht="14.25">
      <c r="A103" s="472">
        <v>2000</v>
      </c>
      <c r="B103" s="472">
        <v>5101010100</v>
      </c>
      <c r="C103" s="472" t="s">
        <v>411</v>
      </c>
      <c r="D103" s="472" t="s">
        <v>332</v>
      </c>
      <c r="E103" s="472">
        <v>0</v>
      </c>
      <c r="F103" s="472">
        <v>0</v>
      </c>
      <c r="G103" s="473">
        <v>1226270022</v>
      </c>
      <c r="H103" s="473">
        <v>15639895</v>
      </c>
      <c r="I103" s="473">
        <v>1210630127</v>
      </c>
      <c r="J103" s="66" t="s">
        <v>403</v>
      </c>
    </row>
    <row r="104" spans="1:10" ht="14.25">
      <c r="A104" s="472">
        <v>2000</v>
      </c>
      <c r="B104" s="472">
        <v>5101230100</v>
      </c>
      <c r="C104" s="472" t="s">
        <v>412</v>
      </c>
      <c r="D104" s="472" t="s">
        <v>332</v>
      </c>
      <c r="E104" s="472">
        <v>0</v>
      </c>
      <c r="F104" s="472">
        <v>0</v>
      </c>
      <c r="G104" s="473">
        <v>3102704</v>
      </c>
      <c r="H104" s="473">
        <v>9373</v>
      </c>
      <c r="I104" s="473">
        <v>3093331</v>
      </c>
      <c r="J104" s="66" t="s">
        <v>403</v>
      </c>
    </row>
    <row r="105" spans="1:10" ht="14.25">
      <c r="A105" s="472">
        <v>2000</v>
      </c>
      <c r="B105" s="472">
        <v>5102010100</v>
      </c>
      <c r="C105" s="472" t="s">
        <v>409</v>
      </c>
      <c r="D105" s="472" t="s">
        <v>332</v>
      </c>
      <c r="E105" s="472">
        <v>0</v>
      </c>
      <c r="F105" s="472">
        <v>0</v>
      </c>
      <c r="G105" s="473">
        <v>6232391</v>
      </c>
      <c r="H105" s="473">
        <v>3104674</v>
      </c>
      <c r="I105" s="473">
        <v>3127717</v>
      </c>
      <c r="J105" s="66" t="s">
        <v>403</v>
      </c>
    </row>
    <row r="106" spans="1:10" ht="14.25">
      <c r="A106" s="472">
        <v>2000</v>
      </c>
      <c r="B106" s="472">
        <v>5103020100</v>
      </c>
      <c r="C106" s="472" t="s">
        <v>413</v>
      </c>
      <c r="D106" s="472" t="s">
        <v>332</v>
      </c>
      <c r="E106" s="472">
        <v>0</v>
      </c>
      <c r="F106" s="472">
        <v>0</v>
      </c>
      <c r="G106" s="473">
        <v>49203300</v>
      </c>
      <c r="H106" s="473">
        <v>489000</v>
      </c>
      <c r="I106" s="473">
        <v>48714300</v>
      </c>
      <c r="J106" s="66" t="s">
        <v>403</v>
      </c>
    </row>
    <row r="107" spans="1:10" ht="14.25">
      <c r="A107" s="472">
        <v>2000</v>
      </c>
      <c r="B107" s="472">
        <v>5103030100</v>
      </c>
      <c r="C107" s="472" t="s">
        <v>414</v>
      </c>
      <c r="D107" s="472" t="s">
        <v>332</v>
      </c>
      <c r="E107" s="472">
        <v>0</v>
      </c>
      <c r="F107" s="472">
        <v>0</v>
      </c>
      <c r="G107" s="473">
        <v>104643317</v>
      </c>
      <c r="H107" s="473">
        <v>1055593</v>
      </c>
      <c r="I107" s="473">
        <v>103587724</v>
      </c>
      <c r="J107" s="66" t="s">
        <v>403</v>
      </c>
    </row>
    <row r="108" spans="1:10" ht="14.25">
      <c r="A108" s="472">
        <v>2000</v>
      </c>
      <c r="B108" s="472">
        <v>5103050100</v>
      </c>
      <c r="C108" s="472" t="s">
        <v>415</v>
      </c>
      <c r="D108" s="472" t="s">
        <v>332</v>
      </c>
      <c r="E108" s="472">
        <v>0</v>
      </c>
      <c r="F108" s="472">
        <v>0</v>
      </c>
      <c r="G108" s="473">
        <v>37824006</v>
      </c>
      <c r="H108" s="473">
        <v>885806</v>
      </c>
      <c r="I108" s="473">
        <v>36938200</v>
      </c>
      <c r="J108" s="66" t="s">
        <v>403</v>
      </c>
    </row>
    <row r="109" spans="1:10" ht="14.25">
      <c r="A109" s="472">
        <v>2000</v>
      </c>
      <c r="B109" s="472">
        <v>5103070100</v>
      </c>
      <c r="C109" s="472" t="s">
        <v>416</v>
      </c>
      <c r="D109" s="472" t="s">
        <v>332</v>
      </c>
      <c r="E109" s="472">
        <v>0</v>
      </c>
      <c r="F109" s="472">
        <v>0</v>
      </c>
      <c r="G109" s="473">
        <v>147743334</v>
      </c>
      <c r="H109" s="473">
        <v>1490319</v>
      </c>
      <c r="I109" s="473">
        <v>146253015</v>
      </c>
      <c r="J109" s="66" t="s">
        <v>403</v>
      </c>
    </row>
    <row r="110" spans="1:10" ht="14.25">
      <c r="A110" s="472">
        <v>2000</v>
      </c>
      <c r="B110" s="472">
        <v>5104010100</v>
      </c>
      <c r="C110" s="472" t="s">
        <v>417</v>
      </c>
      <c r="D110" s="472" t="s">
        <v>332</v>
      </c>
      <c r="E110" s="472">
        <v>0</v>
      </c>
      <c r="F110" s="472">
        <v>0</v>
      </c>
      <c r="G110" s="473">
        <v>36903700</v>
      </c>
      <c r="H110" s="473">
        <v>366700</v>
      </c>
      <c r="I110" s="473">
        <v>36537000</v>
      </c>
      <c r="J110" s="66" t="s">
        <v>403</v>
      </c>
    </row>
    <row r="111" spans="1:10" ht="14.25">
      <c r="A111" s="472">
        <v>2000</v>
      </c>
      <c r="B111" s="472">
        <v>5104020100</v>
      </c>
      <c r="C111" s="472" t="s">
        <v>418</v>
      </c>
      <c r="D111" s="472" t="s">
        <v>332</v>
      </c>
      <c r="E111" s="472">
        <v>0</v>
      </c>
      <c r="F111" s="472">
        <v>0</v>
      </c>
      <c r="G111" s="473">
        <v>24613800</v>
      </c>
      <c r="H111" s="473">
        <v>244700</v>
      </c>
      <c r="I111" s="473">
        <v>24369100</v>
      </c>
      <c r="J111" s="66" t="s">
        <v>403</v>
      </c>
    </row>
    <row r="112" spans="1:10" ht="14.25">
      <c r="A112" s="472">
        <v>2000</v>
      </c>
      <c r="B112" s="472">
        <v>5107010100</v>
      </c>
      <c r="C112" s="472" t="s">
        <v>396</v>
      </c>
      <c r="D112" s="472" t="s">
        <v>332</v>
      </c>
      <c r="E112" s="472">
        <v>0</v>
      </c>
      <c r="F112" s="472">
        <v>0</v>
      </c>
      <c r="G112" s="473">
        <v>53060883</v>
      </c>
      <c r="H112" s="473">
        <v>477533</v>
      </c>
      <c r="I112" s="473">
        <v>52583350</v>
      </c>
      <c r="J112" s="66" t="s">
        <v>403</v>
      </c>
    </row>
    <row r="113" spans="1:10" ht="14.25">
      <c r="A113" s="472">
        <v>2000</v>
      </c>
      <c r="B113" s="472">
        <v>5107020100</v>
      </c>
      <c r="C113" s="472" t="s">
        <v>394</v>
      </c>
      <c r="D113" s="472" t="s">
        <v>332</v>
      </c>
      <c r="E113" s="472">
        <v>0</v>
      </c>
      <c r="F113" s="472">
        <v>0</v>
      </c>
      <c r="G113" s="473">
        <v>102643704</v>
      </c>
      <c r="H113" s="473">
        <v>955848</v>
      </c>
      <c r="I113" s="473">
        <v>101687856</v>
      </c>
      <c r="J113" s="66" t="s">
        <v>403</v>
      </c>
    </row>
    <row r="114" spans="1:10" ht="14.25">
      <c r="A114" s="472">
        <v>2000</v>
      </c>
      <c r="B114" s="472">
        <v>5107030100</v>
      </c>
      <c r="C114" s="472" t="s">
        <v>419</v>
      </c>
      <c r="D114" s="472" t="s">
        <v>332</v>
      </c>
      <c r="E114" s="472">
        <v>0</v>
      </c>
      <c r="F114" s="472">
        <v>0</v>
      </c>
      <c r="G114" s="473">
        <v>5623145</v>
      </c>
      <c r="H114" s="473">
        <v>36934</v>
      </c>
      <c r="I114" s="473">
        <v>5586211</v>
      </c>
      <c r="J114" s="66" t="s">
        <v>403</v>
      </c>
    </row>
    <row r="115" spans="1:10" ht="14.25">
      <c r="A115" s="472">
        <v>2000</v>
      </c>
      <c r="B115" s="472">
        <v>5107060100</v>
      </c>
      <c r="C115" s="472" t="s">
        <v>397</v>
      </c>
      <c r="D115" s="472" t="s">
        <v>332</v>
      </c>
      <c r="E115" s="472">
        <v>0</v>
      </c>
      <c r="F115" s="472">
        <v>0</v>
      </c>
      <c r="G115" s="473">
        <v>102960119</v>
      </c>
      <c r="H115" s="473">
        <v>980981</v>
      </c>
      <c r="I115" s="473">
        <v>101979138</v>
      </c>
      <c r="J115" s="66" t="s">
        <v>403</v>
      </c>
    </row>
    <row r="116" spans="1:10" ht="14.25">
      <c r="A116" s="472">
        <v>2000</v>
      </c>
      <c r="B116" s="472">
        <v>5108030100</v>
      </c>
      <c r="C116" s="472" t="s">
        <v>420</v>
      </c>
      <c r="D116" s="472" t="s">
        <v>332</v>
      </c>
      <c r="E116" s="472">
        <v>0</v>
      </c>
      <c r="F116" s="472">
        <v>0</v>
      </c>
      <c r="G116" s="473">
        <v>182267473</v>
      </c>
      <c r="H116" s="473">
        <v>321432</v>
      </c>
      <c r="I116" s="473">
        <v>181946041</v>
      </c>
      <c r="J116" s="66" t="s">
        <v>403</v>
      </c>
    </row>
    <row r="117" spans="1:10" ht="14.25">
      <c r="A117" s="472">
        <v>2000</v>
      </c>
      <c r="B117" s="472">
        <v>5108040100</v>
      </c>
      <c r="C117" s="472" t="s">
        <v>421</v>
      </c>
      <c r="D117" s="472" t="s">
        <v>332</v>
      </c>
      <c r="E117" s="472">
        <v>0</v>
      </c>
      <c r="F117" s="472">
        <v>0</v>
      </c>
      <c r="G117" s="473">
        <v>7135286</v>
      </c>
      <c r="H117" s="473">
        <v>675742</v>
      </c>
      <c r="I117" s="473">
        <v>6459544</v>
      </c>
      <c r="J117" s="66" t="s">
        <v>403</v>
      </c>
    </row>
    <row r="118" spans="1:11" ht="14.25">
      <c r="A118" s="472">
        <v>2000</v>
      </c>
      <c r="B118" s="472">
        <v>5111060300</v>
      </c>
      <c r="C118" s="472" t="s">
        <v>422</v>
      </c>
      <c r="D118" s="472" t="s">
        <v>332</v>
      </c>
      <c r="E118" s="472">
        <v>0</v>
      </c>
      <c r="F118" s="472">
        <v>0</v>
      </c>
      <c r="G118" s="473">
        <v>315481277</v>
      </c>
      <c r="H118" s="472">
        <v>0</v>
      </c>
      <c r="I118" s="473">
        <v>315481277</v>
      </c>
      <c r="J118" s="66" t="s">
        <v>403</v>
      </c>
      <c r="K118" s="66" t="s">
        <v>448</v>
      </c>
    </row>
    <row r="119" spans="1:10" ht="14.25">
      <c r="A119" s="472">
        <v>2000</v>
      </c>
      <c r="B119" s="472">
        <v>5111060400</v>
      </c>
      <c r="C119" s="472" t="s">
        <v>423</v>
      </c>
      <c r="D119" s="472" t="s">
        <v>332</v>
      </c>
      <c r="E119" s="472">
        <v>0</v>
      </c>
      <c r="F119" s="472">
        <v>0</v>
      </c>
      <c r="G119" s="473">
        <v>551249998</v>
      </c>
      <c r="H119" s="473">
        <v>31999998</v>
      </c>
      <c r="I119" s="473">
        <v>519250000</v>
      </c>
      <c r="J119" s="66" t="s">
        <v>403</v>
      </c>
    </row>
    <row r="120" spans="1:10" ht="14.25">
      <c r="A120" s="472">
        <v>2000</v>
      </c>
      <c r="B120" s="472">
        <v>5111060500</v>
      </c>
      <c r="C120" s="472" t="s">
        <v>424</v>
      </c>
      <c r="D120" s="472" t="s">
        <v>332</v>
      </c>
      <c r="E120" s="472">
        <v>0</v>
      </c>
      <c r="F120" s="472">
        <v>0</v>
      </c>
      <c r="G120" s="473">
        <v>78787877</v>
      </c>
      <c r="H120" s="472">
        <v>0</v>
      </c>
      <c r="I120" s="473">
        <v>78787877</v>
      </c>
      <c r="J120" s="66" t="s">
        <v>403</v>
      </c>
    </row>
    <row r="121" spans="1:10" ht="14.25">
      <c r="A121" s="472">
        <v>2000</v>
      </c>
      <c r="B121" s="472">
        <v>5111060600</v>
      </c>
      <c r="C121" s="472" t="s">
        <v>425</v>
      </c>
      <c r="D121" s="472" t="s">
        <v>332</v>
      </c>
      <c r="E121" s="472">
        <v>0</v>
      </c>
      <c r="F121" s="472">
        <v>0</v>
      </c>
      <c r="G121" s="473">
        <v>179176087</v>
      </c>
      <c r="H121" s="472">
        <v>0</v>
      </c>
      <c r="I121" s="473">
        <v>179176087</v>
      </c>
      <c r="J121" s="66" t="s">
        <v>403</v>
      </c>
    </row>
    <row r="122" spans="1:11" ht="14.25">
      <c r="A122" s="472">
        <v>2000</v>
      </c>
      <c r="B122" s="472">
        <v>5111060700</v>
      </c>
      <c r="C122" s="472" t="s">
        <v>426</v>
      </c>
      <c r="D122" s="472" t="s">
        <v>332</v>
      </c>
      <c r="E122" s="472">
        <v>0</v>
      </c>
      <c r="F122" s="472">
        <v>0</v>
      </c>
      <c r="G122" s="473">
        <v>772962063</v>
      </c>
      <c r="H122" s="473">
        <v>10000000</v>
      </c>
      <c r="I122" s="473">
        <v>762962063</v>
      </c>
      <c r="J122" s="66" t="s">
        <v>403</v>
      </c>
      <c r="K122" s="66" t="s">
        <v>448</v>
      </c>
    </row>
    <row r="123" spans="1:11" ht="14.25">
      <c r="A123" s="472">
        <v>2000</v>
      </c>
      <c r="B123" s="472">
        <v>5111060900</v>
      </c>
      <c r="C123" s="472" t="s">
        <v>422</v>
      </c>
      <c r="D123" s="472" t="s">
        <v>332</v>
      </c>
      <c r="E123" s="472">
        <v>0</v>
      </c>
      <c r="F123" s="472">
        <v>0</v>
      </c>
      <c r="G123" s="473">
        <v>47732688</v>
      </c>
      <c r="H123" s="472">
        <v>0</v>
      </c>
      <c r="I123" s="473">
        <v>47732688</v>
      </c>
      <c r="J123" s="66" t="s">
        <v>403</v>
      </c>
      <c r="K123" s="66" t="s">
        <v>448</v>
      </c>
    </row>
    <row r="124" spans="1:10" ht="14.25">
      <c r="A124" s="472">
        <v>2000</v>
      </c>
      <c r="B124" s="472">
        <v>5111140300</v>
      </c>
      <c r="C124" s="472" t="s">
        <v>427</v>
      </c>
      <c r="D124" s="472" t="s">
        <v>332</v>
      </c>
      <c r="E124" s="472">
        <v>0</v>
      </c>
      <c r="F124" s="472">
        <v>0</v>
      </c>
      <c r="G124" s="473">
        <v>100332605</v>
      </c>
      <c r="H124" s="473">
        <v>11453041</v>
      </c>
      <c r="I124" s="473">
        <v>88879564</v>
      </c>
      <c r="J124" s="66" t="s">
        <v>403</v>
      </c>
    </row>
    <row r="125" spans="1:10" ht="14.25">
      <c r="A125" s="472">
        <v>2000</v>
      </c>
      <c r="B125" s="472">
        <v>5111150100</v>
      </c>
      <c r="C125" s="472" t="s">
        <v>428</v>
      </c>
      <c r="D125" s="472" t="s">
        <v>332</v>
      </c>
      <c r="E125" s="472">
        <v>0</v>
      </c>
      <c r="F125" s="472">
        <v>0</v>
      </c>
      <c r="G125" s="473">
        <v>22349354</v>
      </c>
      <c r="H125" s="472">
        <v>0</v>
      </c>
      <c r="I125" s="473">
        <v>22349354</v>
      </c>
      <c r="J125" s="66" t="s">
        <v>403</v>
      </c>
    </row>
    <row r="126" spans="1:10" ht="14.25">
      <c r="A126" s="472">
        <v>2000</v>
      </c>
      <c r="B126" s="472">
        <v>5111170100</v>
      </c>
      <c r="C126" s="472" t="s">
        <v>429</v>
      </c>
      <c r="D126" s="472" t="s">
        <v>332</v>
      </c>
      <c r="E126" s="472">
        <v>0</v>
      </c>
      <c r="F126" s="472">
        <v>0</v>
      </c>
      <c r="G126" s="473">
        <v>1874826</v>
      </c>
      <c r="H126" s="472">
        <v>0</v>
      </c>
      <c r="I126" s="473">
        <v>1874826</v>
      </c>
      <c r="J126" s="66" t="s">
        <v>403</v>
      </c>
    </row>
    <row r="127" spans="1:10" ht="14.25">
      <c r="A127" s="472">
        <v>2000</v>
      </c>
      <c r="B127" s="472">
        <v>5111170200</v>
      </c>
      <c r="C127" s="472" t="s">
        <v>430</v>
      </c>
      <c r="D127" s="472" t="s">
        <v>332</v>
      </c>
      <c r="E127" s="472">
        <v>0</v>
      </c>
      <c r="F127" s="472">
        <v>0</v>
      </c>
      <c r="G127" s="473">
        <v>1874832</v>
      </c>
      <c r="H127" s="472">
        <v>0</v>
      </c>
      <c r="I127" s="473">
        <v>1874832</v>
      </c>
      <c r="J127" s="66" t="s">
        <v>403</v>
      </c>
    </row>
    <row r="128" spans="1:10" ht="14.25">
      <c r="A128" s="472">
        <v>2000</v>
      </c>
      <c r="B128" s="472">
        <v>5111170300</v>
      </c>
      <c r="C128" s="472" t="s">
        <v>431</v>
      </c>
      <c r="D128" s="472" t="s">
        <v>332</v>
      </c>
      <c r="E128" s="472">
        <v>0</v>
      </c>
      <c r="F128" s="472">
        <v>0</v>
      </c>
      <c r="G128" s="473">
        <v>20122688</v>
      </c>
      <c r="H128" s="472">
        <v>0</v>
      </c>
      <c r="I128" s="473">
        <v>20122688</v>
      </c>
      <c r="J128" s="66" t="s">
        <v>403</v>
      </c>
    </row>
    <row r="129" spans="1:10" ht="14.25">
      <c r="A129" s="472">
        <v>2000</v>
      </c>
      <c r="B129" s="472">
        <v>5111180100</v>
      </c>
      <c r="C129" s="472" t="s">
        <v>432</v>
      </c>
      <c r="D129" s="472" t="s">
        <v>332</v>
      </c>
      <c r="E129" s="472">
        <v>0</v>
      </c>
      <c r="F129" s="472">
        <v>0</v>
      </c>
      <c r="G129" s="473">
        <v>34884562</v>
      </c>
      <c r="H129" s="472">
        <v>0</v>
      </c>
      <c r="I129" s="473">
        <v>34884562</v>
      </c>
      <c r="J129" s="66" t="s">
        <v>403</v>
      </c>
    </row>
    <row r="130" spans="1:10" ht="14.25">
      <c r="A130" s="472">
        <v>2000</v>
      </c>
      <c r="B130" s="472">
        <v>5111190100</v>
      </c>
      <c r="C130" s="472" t="s">
        <v>433</v>
      </c>
      <c r="D130" s="472" t="s">
        <v>332</v>
      </c>
      <c r="E130" s="472">
        <v>0</v>
      </c>
      <c r="F130" s="472">
        <v>0</v>
      </c>
      <c r="G130" s="473">
        <v>296222635</v>
      </c>
      <c r="H130" s="473">
        <v>15442075</v>
      </c>
      <c r="I130" s="473">
        <v>280780560</v>
      </c>
      <c r="J130" s="66" t="s">
        <v>403</v>
      </c>
    </row>
    <row r="131" spans="1:10" ht="14.25">
      <c r="A131" s="472">
        <v>2000</v>
      </c>
      <c r="B131" s="472">
        <v>5111210100</v>
      </c>
      <c r="C131" s="472" t="s">
        <v>434</v>
      </c>
      <c r="D131" s="472" t="s">
        <v>332</v>
      </c>
      <c r="E131" s="472">
        <v>0</v>
      </c>
      <c r="F131" s="472">
        <v>0</v>
      </c>
      <c r="G131" s="473">
        <v>8073912</v>
      </c>
      <c r="H131" s="472">
        <v>0</v>
      </c>
      <c r="I131" s="473">
        <v>8073912</v>
      </c>
      <c r="J131" s="66" t="s">
        <v>403</v>
      </c>
    </row>
    <row r="132" spans="1:10" ht="14.25">
      <c r="A132" s="472">
        <v>2000</v>
      </c>
      <c r="B132" s="472">
        <v>5111230100</v>
      </c>
      <c r="C132" s="472" t="s">
        <v>435</v>
      </c>
      <c r="D132" s="472" t="s">
        <v>332</v>
      </c>
      <c r="E132" s="472">
        <v>0</v>
      </c>
      <c r="F132" s="472">
        <v>0</v>
      </c>
      <c r="G132" s="473">
        <v>6699753</v>
      </c>
      <c r="H132" s="473">
        <v>507440</v>
      </c>
      <c r="I132" s="473">
        <v>6192313</v>
      </c>
      <c r="J132" s="66" t="s">
        <v>403</v>
      </c>
    </row>
    <row r="133" spans="1:10" ht="14.25">
      <c r="A133" s="472">
        <v>2000</v>
      </c>
      <c r="B133" s="472">
        <v>5111230200</v>
      </c>
      <c r="C133" s="472" t="s">
        <v>436</v>
      </c>
      <c r="D133" s="472" t="s">
        <v>332</v>
      </c>
      <c r="E133" s="472">
        <v>0</v>
      </c>
      <c r="F133" s="472">
        <v>0</v>
      </c>
      <c r="G133" s="473">
        <v>23656777</v>
      </c>
      <c r="H133" s="473">
        <v>141930</v>
      </c>
      <c r="I133" s="473">
        <v>23514847</v>
      </c>
      <c r="J133" s="66" t="s">
        <v>403</v>
      </c>
    </row>
    <row r="134" spans="1:12" ht="14.25">
      <c r="A134" s="472">
        <v>2000</v>
      </c>
      <c r="B134" s="472">
        <v>5111270100</v>
      </c>
      <c r="C134" s="472" t="s">
        <v>437</v>
      </c>
      <c r="D134" s="472" t="s">
        <v>332</v>
      </c>
      <c r="E134" s="472">
        <v>0</v>
      </c>
      <c r="F134" s="472">
        <v>0</v>
      </c>
      <c r="G134" s="473">
        <v>346319110</v>
      </c>
      <c r="H134" s="473">
        <v>28227806</v>
      </c>
      <c r="I134" s="473">
        <v>318091304</v>
      </c>
      <c r="J134" s="66" t="s">
        <v>403</v>
      </c>
      <c r="L134" s="66" t="s">
        <v>456</v>
      </c>
    </row>
    <row r="135" spans="1:13" ht="14.25">
      <c r="A135" s="472">
        <v>2000</v>
      </c>
      <c r="B135" s="472">
        <v>5111400100</v>
      </c>
      <c r="C135" s="472" t="s">
        <v>438</v>
      </c>
      <c r="D135" s="472" t="s">
        <v>332</v>
      </c>
      <c r="E135" s="472">
        <v>0</v>
      </c>
      <c r="F135" s="472">
        <v>0</v>
      </c>
      <c r="G135" s="473">
        <v>665115159</v>
      </c>
      <c r="H135" s="473">
        <v>95568400</v>
      </c>
      <c r="I135" s="473">
        <v>569546759</v>
      </c>
      <c r="J135" s="66" t="s">
        <v>403</v>
      </c>
      <c r="L135" s="469">
        <v>109490755</v>
      </c>
      <c r="M135" s="66" t="s">
        <v>457</v>
      </c>
    </row>
    <row r="136" spans="1:13" ht="14.25">
      <c r="A136" s="472">
        <v>2000</v>
      </c>
      <c r="B136" s="472">
        <v>5111590100</v>
      </c>
      <c r="C136" s="472" t="s">
        <v>348</v>
      </c>
      <c r="D136" s="472" t="s">
        <v>332</v>
      </c>
      <c r="E136" s="472">
        <v>0</v>
      </c>
      <c r="F136" s="472">
        <v>0</v>
      </c>
      <c r="G136" s="473">
        <v>64152305</v>
      </c>
      <c r="H136" s="472">
        <v>0</v>
      </c>
      <c r="I136" s="473">
        <v>64152305</v>
      </c>
      <c r="J136" s="66" t="s">
        <v>403</v>
      </c>
      <c r="L136" s="469">
        <v>107311918</v>
      </c>
      <c r="M136" s="66" t="s">
        <v>458</v>
      </c>
    </row>
    <row r="137" spans="1:14" ht="14.25">
      <c r="A137" s="472">
        <v>2000</v>
      </c>
      <c r="B137" s="472">
        <v>5111640100</v>
      </c>
      <c r="C137" s="472" t="s">
        <v>439</v>
      </c>
      <c r="D137" s="472" t="s">
        <v>332</v>
      </c>
      <c r="E137" s="472">
        <v>0</v>
      </c>
      <c r="F137" s="472">
        <v>0</v>
      </c>
      <c r="G137" s="473">
        <v>3749352</v>
      </c>
      <c r="H137" s="472">
        <v>0</v>
      </c>
      <c r="I137" s="473">
        <v>3749352</v>
      </c>
      <c r="J137" s="66" t="s">
        <v>403</v>
      </c>
      <c r="L137" s="469">
        <v>95541007</v>
      </c>
      <c r="M137" s="66" t="s">
        <v>459</v>
      </c>
      <c r="N137" s="469">
        <f>+L135+L136+L137</f>
        <v>312343680</v>
      </c>
    </row>
    <row r="138" spans="1:13" ht="14.25">
      <c r="A138" s="472">
        <v>2000</v>
      </c>
      <c r="B138" s="472">
        <v>5111650100</v>
      </c>
      <c r="C138" s="472" t="s">
        <v>440</v>
      </c>
      <c r="D138" s="472" t="s">
        <v>332</v>
      </c>
      <c r="E138" s="472">
        <v>0</v>
      </c>
      <c r="F138" s="472">
        <v>0</v>
      </c>
      <c r="G138" s="473">
        <v>28498885</v>
      </c>
      <c r="H138" s="472">
        <v>0</v>
      </c>
      <c r="I138" s="473">
        <v>28498885</v>
      </c>
      <c r="J138" s="66" t="s">
        <v>403</v>
      </c>
      <c r="L138" s="469">
        <v>104970192</v>
      </c>
      <c r="M138" s="66" t="s">
        <v>460</v>
      </c>
    </row>
    <row r="139" spans="1:13" ht="14.25">
      <c r="A139" s="472">
        <v>2000</v>
      </c>
      <c r="B139" s="472">
        <v>5111790100</v>
      </c>
      <c r="C139" s="472" t="s">
        <v>234</v>
      </c>
      <c r="D139" s="472" t="s">
        <v>332</v>
      </c>
      <c r="E139" s="472">
        <v>0</v>
      </c>
      <c r="F139" s="472">
        <v>0</v>
      </c>
      <c r="G139" s="473">
        <v>371938135</v>
      </c>
      <c r="H139" s="473">
        <v>38244120</v>
      </c>
      <c r="I139" s="473">
        <v>333694015</v>
      </c>
      <c r="J139" s="66" t="s">
        <v>403</v>
      </c>
      <c r="L139" s="469">
        <v>78079060</v>
      </c>
      <c r="M139" s="66" t="s">
        <v>461</v>
      </c>
    </row>
    <row r="140" spans="1:14" ht="14.25">
      <c r="A140" s="472">
        <v>2000</v>
      </c>
      <c r="B140" s="472">
        <v>5111900100</v>
      </c>
      <c r="C140" s="472" t="s">
        <v>441</v>
      </c>
      <c r="D140" s="472" t="s">
        <v>332</v>
      </c>
      <c r="E140" s="472">
        <v>0</v>
      </c>
      <c r="F140" s="472">
        <v>0</v>
      </c>
      <c r="G140" s="473">
        <v>31660394</v>
      </c>
      <c r="H140" s="473">
        <v>816774</v>
      </c>
      <c r="I140" s="473">
        <v>30843620</v>
      </c>
      <c r="J140" s="66" t="s">
        <v>403</v>
      </c>
      <c r="L140" s="469">
        <v>74153827</v>
      </c>
      <c r="M140" s="66" t="s">
        <v>462</v>
      </c>
      <c r="N140" s="469">
        <f>+L138+L139+L140</f>
        <v>257203079</v>
      </c>
    </row>
    <row r="141" spans="1:10" ht="14.25">
      <c r="A141" s="472">
        <v>2000</v>
      </c>
      <c r="B141" s="472">
        <v>5120240100</v>
      </c>
      <c r="C141" s="472" t="s">
        <v>442</v>
      </c>
      <c r="D141" s="472" t="s">
        <v>332</v>
      </c>
      <c r="E141" s="472">
        <v>0</v>
      </c>
      <c r="F141" s="472">
        <v>0</v>
      </c>
      <c r="G141" s="473">
        <v>28296146</v>
      </c>
      <c r="H141" s="473">
        <v>4226675</v>
      </c>
      <c r="I141" s="473">
        <v>24069471</v>
      </c>
      <c r="J141" s="66" t="s">
        <v>403</v>
      </c>
    </row>
    <row r="142" spans="1:10" ht="14.25">
      <c r="A142" s="472">
        <v>2000</v>
      </c>
      <c r="B142" s="472">
        <v>5120300100</v>
      </c>
      <c r="C142" s="472" t="s">
        <v>443</v>
      </c>
      <c r="D142" s="472" t="s">
        <v>332</v>
      </c>
      <c r="E142" s="472">
        <v>0</v>
      </c>
      <c r="F142" s="472">
        <v>0</v>
      </c>
      <c r="G142" s="473">
        <v>4552138</v>
      </c>
      <c r="H142" s="473">
        <v>229008</v>
      </c>
      <c r="I142" s="473">
        <v>4323130</v>
      </c>
      <c r="J142" s="66" t="s">
        <v>403</v>
      </c>
    </row>
    <row r="143" spans="1:9" ht="14.25">
      <c r="A143" s="474">
        <v>2000</v>
      </c>
      <c r="B143" s="475">
        <v>5360040100</v>
      </c>
      <c r="C143" s="475" t="s">
        <v>339</v>
      </c>
      <c r="D143" s="475" t="s">
        <v>332</v>
      </c>
      <c r="E143" s="475">
        <v>0</v>
      </c>
      <c r="F143" s="475">
        <v>0</v>
      </c>
      <c r="G143" s="476">
        <v>40066179</v>
      </c>
      <c r="H143" s="475">
        <v>0</v>
      </c>
      <c r="I143" s="477">
        <v>40066179</v>
      </c>
    </row>
    <row r="144" spans="1:9" ht="14.25">
      <c r="A144" s="478">
        <v>2000</v>
      </c>
      <c r="B144" s="66">
        <v>5360060100</v>
      </c>
      <c r="C144" s="66" t="s">
        <v>444</v>
      </c>
      <c r="D144" s="66" t="s">
        <v>332</v>
      </c>
      <c r="E144" s="66">
        <v>0</v>
      </c>
      <c r="F144" s="66">
        <v>0</v>
      </c>
      <c r="G144" s="469">
        <v>14613857</v>
      </c>
      <c r="H144" s="66">
        <v>0</v>
      </c>
      <c r="I144" s="479">
        <v>14613857</v>
      </c>
    </row>
    <row r="145" spans="1:9" ht="14.25">
      <c r="A145" s="478">
        <v>2000</v>
      </c>
      <c r="B145" s="66">
        <v>5360070100</v>
      </c>
      <c r="C145" s="66" t="s">
        <v>344</v>
      </c>
      <c r="D145" s="66" t="s">
        <v>332</v>
      </c>
      <c r="E145" s="66">
        <v>0</v>
      </c>
      <c r="F145" s="66">
        <v>0</v>
      </c>
      <c r="G145" s="469">
        <v>19464105</v>
      </c>
      <c r="H145" s="66">
        <v>0</v>
      </c>
      <c r="I145" s="479">
        <v>19464105</v>
      </c>
    </row>
    <row r="146" spans="1:9" ht="14.25">
      <c r="A146" s="480">
        <v>2000</v>
      </c>
      <c r="B146" s="481">
        <v>5366050100</v>
      </c>
      <c r="C146" s="481" t="s">
        <v>348</v>
      </c>
      <c r="D146" s="481" t="s">
        <v>332</v>
      </c>
      <c r="E146" s="481">
        <v>0</v>
      </c>
      <c r="F146" s="481">
        <v>0</v>
      </c>
      <c r="G146" s="482">
        <v>30805272</v>
      </c>
      <c r="H146" s="481">
        <v>0</v>
      </c>
      <c r="I146" s="483">
        <v>30805272</v>
      </c>
    </row>
    <row r="147" spans="1:10" ht="14.25">
      <c r="A147" s="472">
        <v>2000</v>
      </c>
      <c r="B147" s="472">
        <v>5802400100</v>
      </c>
      <c r="C147" s="472" t="s">
        <v>445</v>
      </c>
      <c r="D147" s="472" t="s">
        <v>332</v>
      </c>
      <c r="E147" s="472">
        <v>0</v>
      </c>
      <c r="F147" s="472">
        <v>0</v>
      </c>
      <c r="G147" s="473">
        <v>4959627</v>
      </c>
      <c r="H147" s="473">
        <v>730417</v>
      </c>
      <c r="I147" s="473">
        <v>4229210</v>
      </c>
      <c r="J147" s="66" t="s">
        <v>403</v>
      </c>
    </row>
    <row r="148" spans="1:9" ht="14.25">
      <c r="A148" s="66">
        <v>2000</v>
      </c>
      <c r="B148" s="66">
        <v>8315101200</v>
      </c>
      <c r="C148" s="66" t="s">
        <v>341</v>
      </c>
      <c r="D148" s="66" t="s">
        <v>332</v>
      </c>
      <c r="E148" s="469">
        <v>4186000</v>
      </c>
      <c r="F148" s="66">
        <v>0</v>
      </c>
      <c r="G148" s="469">
        <v>2350000</v>
      </c>
      <c r="H148" s="66">
        <v>0</v>
      </c>
      <c r="I148" s="469">
        <v>6536000</v>
      </c>
    </row>
    <row r="149" spans="1:9" ht="14.25">
      <c r="A149" s="66">
        <v>2000</v>
      </c>
      <c r="B149" s="66">
        <v>8390900100</v>
      </c>
      <c r="C149" s="66" t="s">
        <v>446</v>
      </c>
      <c r="D149" s="66" t="s">
        <v>332</v>
      </c>
      <c r="E149" s="469">
        <v>33005114</v>
      </c>
      <c r="F149" s="66">
        <v>0</v>
      </c>
      <c r="G149" s="66">
        <v>0</v>
      </c>
      <c r="H149" s="66">
        <v>0</v>
      </c>
      <c r="I149" s="469">
        <v>33005114</v>
      </c>
    </row>
    <row r="150" spans="1:9" ht="14.25">
      <c r="A150" s="66">
        <v>2000</v>
      </c>
      <c r="B150" s="66">
        <v>8390900200</v>
      </c>
      <c r="C150" s="66" t="s">
        <v>446</v>
      </c>
      <c r="D150" s="66" t="s">
        <v>332</v>
      </c>
      <c r="E150" s="469">
        <v>27118725</v>
      </c>
      <c r="F150" s="66">
        <v>0</v>
      </c>
      <c r="G150" s="66">
        <v>0</v>
      </c>
      <c r="H150" s="66">
        <v>0</v>
      </c>
      <c r="I150" s="469">
        <v>27118725</v>
      </c>
    </row>
    <row r="151" spans="1:9" ht="14.25">
      <c r="A151" s="66">
        <v>2000</v>
      </c>
      <c r="B151" s="66">
        <v>8390900300</v>
      </c>
      <c r="C151" s="66" t="s">
        <v>446</v>
      </c>
      <c r="D151" s="66" t="s">
        <v>332</v>
      </c>
      <c r="E151" s="469">
        <v>27509478</v>
      </c>
      <c r="F151" s="66">
        <v>0</v>
      </c>
      <c r="G151" s="469">
        <v>53693937</v>
      </c>
      <c r="H151" s="66">
        <v>0</v>
      </c>
      <c r="I151" s="469">
        <v>81203415</v>
      </c>
    </row>
    <row r="152" spans="1:9" ht="14.25">
      <c r="A152" s="66">
        <v>2000</v>
      </c>
      <c r="B152" s="66">
        <v>8915060200</v>
      </c>
      <c r="C152" s="66" t="s">
        <v>341</v>
      </c>
      <c r="D152" s="66" t="s">
        <v>332</v>
      </c>
      <c r="E152" s="469">
        <v>-4186000</v>
      </c>
      <c r="F152" s="66">
        <v>0</v>
      </c>
      <c r="G152" s="66">
        <v>0</v>
      </c>
      <c r="H152" s="469">
        <v>2350000</v>
      </c>
      <c r="I152" s="469">
        <v>-6536000</v>
      </c>
    </row>
    <row r="153" spans="1:9" ht="14.25">
      <c r="A153" s="66">
        <v>2000</v>
      </c>
      <c r="B153" s="66">
        <v>8915900100</v>
      </c>
      <c r="C153" s="66" t="s">
        <v>447</v>
      </c>
      <c r="D153" s="66" t="s">
        <v>332</v>
      </c>
      <c r="E153" s="469">
        <v>-33005114</v>
      </c>
      <c r="F153" s="66">
        <v>0</v>
      </c>
      <c r="G153" s="66">
        <v>0</v>
      </c>
      <c r="H153" s="66">
        <v>0</v>
      </c>
      <c r="I153" s="469">
        <v>-33005114</v>
      </c>
    </row>
    <row r="154" spans="1:9" ht="14.25">
      <c r="A154" s="66">
        <v>2000</v>
      </c>
      <c r="B154" s="66">
        <v>8915900200</v>
      </c>
      <c r="C154" s="66" t="s">
        <v>447</v>
      </c>
      <c r="D154" s="66" t="s">
        <v>332</v>
      </c>
      <c r="E154" s="469">
        <v>-27118725</v>
      </c>
      <c r="F154" s="66">
        <v>0</v>
      </c>
      <c r="G154" s="66">
        <v>0</v>
      </c>
      <c r="H154" s="66">
        <v>0</v>
      </c>
      <c r="I154" s="469">
        <v>-27118725</v>
      </c>
    </row>
    <row r="155" spans="1:9" ht="14.25">
      <c r="A155" s="66">
        <v>2000</v>
      </c>
      <c r="B155" s="66">
        <v>8915900300</v>
      </c>
      <c r="C155" s="66" t="s">
        <v>447</v>
      </c>
      <c r="D155" s="66" t="s">
        <v>332</v>
      </c>
      <c r="E155" s="469">
        <v>-27509478</v>
      </c>
      <c r="F155" s="66">
        <v>0</v>
      </c>
      <c r="G155" s="66">
        <v>0</v>
      </c>
      <c r="H155" s="469">
        <v>53693937</v>
      </c>
      <c r="I155" s="469">
        <v>-81203415</v>
      </c>
    </row>
    <row r="156" spans="1:9" ht="14.25">
      <c r="A156" s="66">
        <v>2000</v>
      </c>
      <c r="D156" s="66" t="s">
        <v>332</v>
      </c>
      <c r="E156" s="66">
        <v>0</v>
      </c>
      <c r="F156" s="66">
        <v>0</v>
      </c>
      <c r="G156" s="469">
        <v>70701321192</v>
      </c>
      <c r="H156" s="469">
        <v>70701321192</v>
      </c>
      <c r="I156" s="66">
        <v>0</v>
      </c>
    </row>
    <row r="157" spans="1:9" ht="14.25">
      <c r="A157" s="66">
        <v>2000</v>
      </c>
      <c r="D157" s="66" t="s">
        <v>332</v>
      </c>
      <c r="E157" s="66">
        <v>0</v>
      </c>
      <c r="F157" s="66">
        <v>0</v>
      </c>
      <c r="G157" s="469">
        <v>70701321192</v>
      </c>
      <c r="H157" s="469">
        <v>70701321192</v>
      </c>
      <c r="I157" s="66">
        <v>0</v>
      </c>
    </row>
    <row r="158" spans="4:9" ht="14.25">
      <c r="D158" s="66" t="s">
        <v>332</v>
      </c>
      <c r="E158" s="66">
        <v>0</v>
      </c>
      <c r="F158" s="66">
        <v>0</v>
      </c>
      <c r="G158" s="469">
        <v>70701321192</v>
      </c>
      <c r="H158" s="469">
        <v>70701321192</v>
      </c>
      <c r="I158" s="66">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Q14"/>
  <sheetViews>
    <sheetView zoomScale="70" zoomScaleNormal="70" zoomScalePageLayoutView="0" workbookViewId="0" topLeftCell="A1">
      <selection activeCell="E5" sqref="E5"/>
    </sheetView>
  </sheetViews>
  <sheetFormatPr defaultColWidth="9.140625" defaultRowHeight="15"/>
  <cols>
    <col min="1" max="1" width="9.28125" style="77" customWidth="1"/>
    <col min="2" max="2" width="22.28125" style="72" customWidth="1"/>
    <col min="3" max="3" width="22.28125" style="92" customWidth="1"/>
    <col min="4" max="4" width="36.140625" style="64" customWidth="1"/>
    <col min="5" max="5" width="17.28125" style="64" bestFit="1" customWidth="1"/>
    <col min="6" max="6" width="16.00390625" style="64" bestFit="1" customWidth="1"/>
    <col min="7" max="7" width="20.28125" style="64" customWidth="1"/>
    <col min="8" max="8" width="18.00390625" style="64" customWidth="1"/>
    <col min="9" max="9" width="103.00390625" style="64" customWidth="1"/>
    <col min="10" max="10" width="9.140625" style="64" customWidth="1"/>
    <col min="11" max="11" width="19.421875" style="2" bestFit="1" customWidth="1"/>
    <col min="12" max="12" width="16.00390625" style="2" bestFit="1" customWidth="1"/>
    <col min="13" max="13" width="18.140625" style="65" bestFit="1" customWidth="1"/>
    <col min="14" max="14" width="16.28125" style="64" bestFit="1" customWidth="1"/>
    <col min="15" max="15" width="18.140625" style="2" bestFit="1" customWidth="1"/>
    <col min="16" max="16" width="14.7109375" style="64" bestFit="1" customWidth="1"/>
    <col min="17" max="16384" width="9.140625" style="64" customWidth="1"/>
  </cols>
  <sheetData>
    <row r="1" spans="2:9" ht="21" customHeight="1">
      <c r="B1" s="563" t="s">
        <v>13</v>
      </c>
      <c r="C1" s="563"/>
      <c r="D1" s="563"/>
      <c r="E1" s="563"/>
      <c r="F1" s="563"/>
      <c r="G1" s="563"/>
      <c r="H1" s="563"/>
      <c r="I1" s="563"/>
    </row>
    <row r="2" spans="2:9" ht="21" customHeight="1">
      <c r="B2" s="563" t="s">
        <v>115</v>
      </c>
      <c r="C2" s="563"/>
      <c r="D2" s="563"/>
      <c r="E2" s="563"/>
      <c r="F2" s="563"/>
      <c r="G2" s="563"/>
      <c r="H2" s="563"/>
      <c r="I2" s="563"/>
    </row>
    <row r="3" spans="4:9" ht="15.75" customHeight="1" thickBot="1">
      <c r="D3" s="1"/>
      <c r="E3" s="1"/>
      <c r="F3" s="1"/>
      <c r="G3" s="1"/>
      <c r="H3" s="1"/>
      <c r="I3" s="1"/>
    </row>
    <row r="4" spans="2:9" ht="31.5" thickBot="1">
      <c r="B4" s="81" t="s">
        <v>59</v>
      </c>
      <c r="C4" s="112" t="s">
        <v>101</v>
      </c>
      <c r="D4" s="83" t="s">
        <v>70</v>
      </c>
      <c r="E4" s="82" t="s">
        <v>65</v>
      </c>
      <c r="F4" s="83" t="s">
        <v>54</v>
      </c>
      <c r="G4" s="83" t="s">
        <v>67</v>
      </c>
      <c r="H4" s="82" t="s">
        <v>82</v>
      </c>
      <c r="I4" s="84" t="s">
        <v>64</v>
      </c>
    </row>
    <row r="5" spans="1:17" s="65" customFormat="1" ht="30.75">
      <c r="A5" s="85"/>
      <c r="B5" s="557" t="s">
        <v>1</v>
      </c>
      <c r="C5" s="559" t="s">
        <v>1</v>
      </c>
      <c r="D5" s="93" t="s">
        <v>80</v>
      </c>
      <c r="E5" s="94">
        <v>10000000</v>
      </c>
      <c r="F5" s="95">
        <v>1</v>
      </c>
      <c r="G5" s="95" t="s">
        <v>68</v>
      </c>
      <c r="H5" s="96">
        <f>+E5*F5</f>
        <v>10000000</v>
      </c>
      <c r="I5" s="97" t="s">
        <v>116</v>
      </c>
      <c r="J5" s="64"/>
      <c r="K5" s="2"/>
      <c r="L5" s="52"/>
      <c r="N5" s="64"/>
      <c r="O5" s="2"/>
      <c r="P5" s="64"/>
      <c r="Q5" s="64"/>
    </row>
    <row r="6" spans="1:17" s="65" customFormat="1" ht="46.5" thickBot="1">
      <c r="A6" s="85"/>
      <c r="B6" s="558"/>
      <c r="C6" s="560"/>
      <c r="D6" s="98" t="s">
        <v>58</v>
      </c>
      <c r="E6" s="79">
        <f>ROUND((5600000*3.5%)+5600000,-3)</f>
        <v>5796000</v>
      </c>
      <c r="F6" s="80">
        <v>12</v>
      </c>
      <c r="G6" s="80" t="s">
        <v>68</v>
      </c>
      <c r="H6" s="99">
        <f>+F6*E6</f>
        <v>69552000</v>
      </c>
      <c r="I6" s="100" t="s">
        <v>96</v>
      </c>
      <c r="J6" s="64"/>
      <c r="K6" s="2"/>
      <c r="L6" s="52"/>
      <c r="N6" s="64"/>
      <c r="O6" s="2"/>
      <c r="P6" s="64"/>
      <c r="Q6" s="64"/>
    </row>
    <row r="7" spans="1:10" s="67" customFormat="1" ht="62.25" thickBot="1">
      <c r="A7" s="76"/>
      <c r="B7" s="75" t="s">
        <v>0</v>
      </c>
      <c r="C7" s="121" t="s">
        <v>0</v>
      </c>
      <c r="D7" s="122" t="s">
        <v>83</v>
      </c>
      <c r="E7" s="123">
        <f>24000000*0.19+24000000</f>
        <v>28560000</v>
      </c>
      <c r="F7" s="124">
        <v>1</v>
      </c>
      <c r="G7" s="121" t="s">
        <v>84</v>
      </c>
      <c r="H7" s="114">
        <f>+E7*F7</f>
        <v>28560000</v>
      </c>
      <c r="I7" s="125" t="s">
        <v>97</v>
      </c>
      <c r="J7" s="68"/>
    </row>
    <row r="8" spans="1:14" s="69" customFormat="1" ht="30" customHeight="1">
      <c r="A8" s="89"/>
      <c r="B8" s="561" t="s">
        <v>117</v>
      </c>
      <c r="C8" s="126" t="s">
        <v>91</v>
      </c>
      <c r="D8" s="115" t="s">
        <v>94</v>
      </c>
      <c r="E8" s="116">
        <v>3850000</v>
      </c>
      <c r="F8" s="117">
        <f>24*45</f>
        <v>1080</v>
      </c>
      <c r="G8" s="118" t="s">
        <v>118</v>
      </c>
      <c r="H8" s="119">
        <f>+E8/30*F8</f>
        <v>138600000</v>
      </c>
      <c r="I8" s="120" t="s">
        <v>95</v>
      </c>
      <c r="J8" s="70"/>
      <c r="K8" s="70"/>
      <c r="L8" s="71"/>
      <c r="M8" s="66"/>
      <c r="N8" s="66"/>
    </row>
    <row r="9" spans="2:12" s="89" customFormat="1" ht="62.25" thickBot="1">
      <c r="B9" s="562"/>
      <c r="C9" s="80" t="s">
        <v>103</v>
      </c>
      <c r="D9" s="104" t="s">
        <v>99</v>
      </c>
      <c r="E9" s="105">
        <v>30000000</v>
      </c>
      <c r="F9" s="106">
        <v>1</v>
      </c>
      <c r="G9" s="107" t="s">
        <v>104</v>
      </c>
      <c r="H9" s="108">
        <f>+E9*F9</f>
        <v>30000000</v>
      </c>
      <c r="I9" s="109" t="s">
        <v>100</v>
      </c>
      <c r="J9" s="90"/>
      <c r="K9" s="90"/>
      <c r="L9" s="91"/>
    </row>
    <row r="10" spans="2:17" s="111" customFormat="1" ht="31.5" thickBot="1">
      <c r="B10" s="110" t="s">
        <v>98</v>
      </c>
      <c r="C10" s="113" t="s">
        <v>102</v>
      </c>
      <c r="D10" s="101" t="s">
        <v>86</v>
      </c>
      <c r="E10" s="73">
        <v>150000</v>
      </c>
      <c r="F10" s="102">
        <v>11</v>
      </c>
      <c r="G10" s="103" t="s">
        <v>119</v>
      </c>
      <c r="H10" s="114">
        <f>+E10*F10</f>
        <v>1650000</v>
      </c>
      <c r="I10" s="74" t="s">
        <v>120</v>
      </c>
      <c r="J10" s="86"/>
      <c r="K10" s="87"/>
      <c r="L10" s="86"/>
      <c r="M10" s="86"/>
      <c r="N10" s="86"/>
      <c r="O10" s="88"/>
      <c r="P10" s="86"/>
      <c r="Q10" s="86"/>
    </row>
    <row r="11" spans="2:9" ht="15.75" customHeight="1" thickBot="1">
      <c r="B11" s="554" t="s">
        <v>110</v>
      </c>
      <c r="C11" s="555"/>
      <c r="D11" s="555"/>
      <c r="E11" s="555"/>
      <c r="F11" s="555"/>
      <c r="G11" s="556"/>
      <c r="H11" s="127">
        <f>SUM(H5:H10)</f>
        <v>278362000</v>
      </c>
      <c r="I11" s="128"/>
    </row>
    <row r="12" ht="15">
      <c r="H12" s="78"/>
    </row>
    <row r="14" ht="15">
      <c r="H14" s="78"/>
    </row>
  </sheetData>
  <sheetProtection/>
  <mergeCells count="6">
    <mergeCell ref="B11:G11"/>
    <mergeCell ref="B5:B6"/>
    <mergeCell ref="C5:C6"/>
    <mergeCell ref="B8:B9"/>
    <mergeCell ref="B1:I1"/>
    <mergeCell ref="B2:I2"/>
  </mergeCells>
  <printOptions horizontalCentered="1"/>
  <pageMargins left="0.1968503937007874" right="0.1968503937007874" top="1.1811023622047245" bottom="0.1968503937007874" header="0.31496062992125984" footer="0.31496062992125984"/>
  <pageSetup orientation="landscape" scale="50" r:id="rId1"/>
</worksheet>
</file>

<file path=xl/worksheets/sheet6.xml><?xml version="1.0" encoding="utf-8"?>
<worksheet xmlns="http://schemas.openxmlformats.org/spreadsheetml/2006/main" xmlns:r="http://schemas.openxmlformats.org/officeDocument/2006/relationships">
  <dimension ref="B2:O16"/>
  <sheetViews>
    <sheetView zoomScalePageLayoutView="0" workbookViewId="0" topLeftCell="A1">
      <selection activeCell="E11" sqref="E11"/>
    </sheetView>
  </sheetViews>
  <sheetFormatPr defaultColWidth="9.140625" defaultRowHeight="15"/>
  <cols>
    <col min="1" max="1" width="9.140625" style="192" customWidth="1"/>
    <col min="2" max="2" width="30.421875" style="192" customWidth="1"/>
    <col min="3" max="3" width="19.8515625" style="192" customWidth="1"/>
    <col min="4" max="4" width="18.00390625" style="193" customWidth="1"/>
    <col min="5" max="5" width="13.8515625" style="207" customWidth="1"/>
    <col min="6" max="6" width="18.00390625" style="193" customWidth="1"/>
    <col min="7" max="7" width="91.28125" style="192" customWidth="1"/>
    <col min="8" max="16384" width="9.140625" style="192" customWidth="1"/>
  </cols>
  <sheetData>
    <row r="2" spans="2:15" ht="21" customHeight="1">
      <c r="B2" s="564" t="s">
        <v>13</v>
      </c>
      <c r="C2" s="564"/>
      <c r="D2" s="564"/>
      <c r="E2" s="564"/>
      <c r="F2" s="564"/>
      <c r="G2" s="564"/>
      <c r="H2" s="200"/>
      <c r="I2" s="200"/>
      <c r="K2" s="193"/>
      <c r="L2" s="193"/>
      <c r="M2" s="194"/>
      <c r="O2" s="193"/>
    </row>
    <row r="3" spans="2:15" ht="21" customHeight="1">
      <c r="B3" s="564" t="s">
        <v>147</v>
      </c>
      <c r="C3" s="564"/>
      <c r="D3" s="564"/>
      <c r="E3" s="564"/>
      <c r="F3" s="564"/>
      <c r="G3" s="564"/>
      <c r="H3" s="200"/>
      <c r="I3" s="200"/>
      <c r="K3" s="193"/>
      <c r="L3" s="193"/>
      <c r="M3" s="194"/>
      <c r="O3" s="193"/>
    </row>
    <row r="4" spans="2:15" ht="15.75" thickBot="1">
      <c r="B4" s="201"/>
      <c r="C4" s="201"/>
      <c r="D4" s="201"/>
      <c r="E4" s="201"/>
      <c r="F4" s="201"/>
      <c r="G4" s="201"/>
      <c r="H4" s="201"/>
      <c r="I4" s="201"/>
      <c r="K4" s="193"/>
      <c r="L4" s="193"/>
      <c r="M4" s="194"/>
      <c r="O4" s="193"/>
    </row>
    <row r="5" spans="2:7" ht="15.75" thickBot="1">
      <c r="B5" s="567" t="s">
        <v>128</v>
      </c>
      <c r="C5" s="568"/>
      <c r="D5" s="568"/>
      <c r="E5" s="568"/>
      <c r="F5" s="568"/>
      <c r="G5" s="569"/>
    </row>
    <row r="6" spans="2:7" s="202" customFormat="1" ht="15.75" thickBot="1">
      <c r="B6" s="306" t="s">
        <v>105</v>
      </c>
      <c r="C6" s="307" t="s">
        <v>106</v>
      </c>
      <c r="D6" s="308" t="s">
        <v>109</v>
      </c>
      <c r="E6" s="308" t="s">
        <v>54</v>
      </c>
      <c r="F6" s="308" t="s">
        <v>2</v>
      </c>
      <c r="G6" s="309" t="s">
        <v>107</v>
      </c>
    </row>
    <row r="7" spans="2:7" ht="83.25" customHeight="1">
      <c r="B7" s="573" t="s">
        <v>169</v>
      </c>
      <c r="C7" s="302" t="s">
        <v>57</v>
      </c>
      <c r="D7" s="303">
        <v>326351.55</v>
      </c>
      <c r="E7" s="304">
        <v>6</v>
      </c>
      <c r="F7" s="305">
        <f>ROUND((((D7*2.5)*12)+((D7/2)*12))+7500000,0)</f>
        <v>19248656</v>
      </c>
      <c r="G7" s="575" t="s">
        <v>250</v>
      </c>
    </row>
    <row r="8" spans="2:7" ht="83.25" customHeight="1">
      <c r="B8" s="574"/>
      <c r="C8" s="203" t="s">
        <v>108</v>
      </c>
      <c r="D8" s="204">
        <v>774000</v>
      </c>
      <c r="E8" s="205">
        <v>18</v>
      </c>
      <c r="F8" s="206">
        <f>+D8*E8</f>
        <v>13932000</v>
      </c>
      <c r="G8" s="576"/>
    </row>
    <row r="9" spans="2:7" ht="15">
      <c r="B9" s="570" t="s">
        <v>137</v>
      </c>
      <c r="C9" s="571"/>
      <c r="D9" s="571"/>
      <c r="E9" s="571"/>
      <c r="F9" s="571"/>
      <c r="G9" s="572"/>
    </row>
    <row r="10" spans="2:7" ht="72" customHeight="1">
      <c r="B10" s="577" t="s">
        <v>170</v>
      </c>
      <c r="C10" s="203" t="s">
        <v>57</v>
      </c>
      <c r="D10" s="204">
        <v>1620570</v>
      </c>
      <c r="E10" s="205">
        <v>6</v>
      </c>
      <c r="F10" s="206">
        <f>+D10*E10</f>
        <v>9723420</v>
      </c>
      <c r="G10" s="579" t="s">
        <v>249</v>
      </c>
    </row>
    <row r="11" spans="2:7" ht="72" customHeight="1" thickBot="1">
      <c r="B11" s="578"/>
      <c r="C11" s="299" t="s">
        <v>108</v>
      </c>
      <c r="D11" s="204">
        <v>1548000</v>
      </c>
      <c r="E11" s="300">
        <v>6</v>
      </c>
      <c r="F11" s="301">
        <f>+D11*E11</f>
        <v>9288000</v>
      </c>
      <c r="G11" s="580"/>
    </row>
    <row r="12" spans="2:7" ht="15.75" thickBot="1">
      <c r="B12" s="565" t="s">
        <v>2</v>
      </c>
      <c r="C12" s="566"/>
      <c r="D12" s="296"/>
      <c r="E12" s="296"/>
      <c r="F12" s="297">
        <f>SUM(F7:F11)</f>
        <v>52192076</v>
      </c>
      <c r="G12" s="298"/>
    </row>
    <row r="14" ht="15">
      <c r="D14" s="192"/>
    </row>
    <row r="15" ht="15">
      <c r="D15" s="192"/>
    </row>
    <row r="16" ht="15">
      <c r="D16" s="192"/>
    </row>
  </sheetData>
  <sheetProtection/>
  <mergeCells count="9">
    <mergeCell ref="B2:G2"/>
    <mergeCell ref="B3:G3"/>
    <mergeCell ref="B12:C12"/>
    <mergeCell ref="B5:G5"/>
    <mergeCell ref="B9:G9"/>
    <mergeCell ref="B7:B8"/>
    <mergeCell ref="G7:G8"/>
    <mergeCell ref="B10:B11"/>
    <mergeCell ref="G10:G11"/>
  </mergeCells>
  <printOptions horizontalCentered="1"/>
  <pageMargins left="0.1968503937007874" right="0.1968503937007874" top="1.1811023622047245" bottom="0.7480314960629921" header="0.31496062992125984" footer="0.31496062992125984"/>
  <pageSetup horizontalDpi="300" verticalDpi="300" orientation="landscape" scale="70" r:id="rId1"/>
</worksheet>
</file>

<file path=xl/worksheets/sheet7.xml><?xml version="1.0" encoding="utf-8"?>
<worksheet xmlns="http://schemas.openxmlformats.org/spreadsheetml/2006/main" xmlns:r="http://schemas.openxmlformats.org/officeDocument/2006/relationships">
  <sheetPr>
    <pageSetUpPr fitToPage="1"/>
  </sheetPr>
  <dimension ref="A1:D35"/>
  <sheetViews>
    <sheetView view="pageBreakPreview" zoomScaleNormal="150" zoomScaleSheetLayoutView="100" zoomScalePageLayoutView="0" workbookViewId="0" topLeftCell="A1">
      <selection activeCell="C29" sqref="C29"/>
    </sheetView>
  </sheetViews>
  <sheetFormatPr defaultColWidth="9.140625" defaultRowHeight="15"/>
  <cols>
    <col min="1" max="1" width="26.00390625" style="214" bestFit="1" customWidth="1"/>
    <col min="2" max="2" width="20.140625" style="225" bestFit="1" customWidth="1"/>
    <col min="3" max="3" width="13.8515625" style="218" bestFit="1" customWidth="1"/>
    <col min="4" max="4" width="45.28125" style="227" customWidth="1"/>
    <col min="5" max="16384" width="9.140625" style="214" customWidth="1"/>
  </cols>
  <sheetData>
    <row r="1" spans="1:4" s="211" customFormat="1" ht="15">
      <c r="A1" s="338"/>
      <c r="B1" s="210"/>
      <c r="C1" s="338" t="s">
        <v>2</v>
      </c>
      <c r="D1" s="338" t="s">
        <v>107</v>
      </c>
    </row>
    <row r="2" spans="1:4" ht="18.75" customHeight="1">
      <c r="A2" s="583" t="s">
        <v>81</v>
      </c>
      <c r="B2" s="212" t="s">
        <v>149</v>
      </c>
      <c r="C2" s="213">
        <v>0</v>
      </c>
      <c r="D2" s="583" t="s">
        <v>150</v>
      </c>
    </row>
    <row r="3" spans="1:4" ht="18.75" customHeight="1">
      <c r="A3" s="583"/>
      <c r="B3" s="212" t="s">
        <v>108</v>
      </c>
      <c r="C3" s="213">
        <v>0</v>
      </c>
      <c r="D3" s="583"/>
    </row>
    <row r="4" spans="1:4" ht="22.5" customHeight="1">
      <c r="A4" s="583" t="s">
        <v>75</v>
      </c>
      <c r="B4" s="212" t="s">
        <v>149</v>
      </c>
      <c r="C4" s="215">
        <v>5656797</v>
      </c>
      <c r="D4" s="584" t="s">
        <v>151</v>
      </c>
    </row>
    <row r="5" spans="1:4" ht="22.5" customHeight="1">
      <c r="A5" s="583"/>
      <c r="B5" s="212" t="s">
        <v>108</v>
      </c>
      <c r="C5" s="215">
        <v>0</v>
      </c>
      <c r="D5" s="584"/>
    </row>
    <row r="6" spans="1:4" s="217" customFormat="1" ht="18.75" customHeight="1">
      <c r="A6" s="583" t="s">
        <v>76</v>
      </c>
      <c r="B6" s="212" t="s">
        <v>149</v>
      </c>
      <c r="C6" s="216">
        <v>15656259</v>
      </c>
      <c r="D6" s="584" t="s">
        <v>152</v>
      </c>
    </row>
    <row r="7" spans="1:4" s="217" customFormat="1" ht="18.75" customHeight="1">
      <c r="A7" s="583"/>
      <c r="B7" s="212" t="s">
        <v>108</v>
      </c>
      <c r="C7" s="216">
        <v>0</v>
      </c>
      <c r="D7" s="584"/>
    </row>
    <row r="8" spans="1:4" ht="18.75" customHeight="1">
      <c r="A8" s="583" t="s">
        <v>77</v>
      </c>
      <c r="B8" s="212" t="s">
        <v>149</v>
      </c>
      <c r="C8" s="216">
        <v>5656797</v>
      </c>
      <c r="D8" s="584" t="s">
        <v>153</v>
      </c>
    </row>
    <row r="9" spans="1:4" ht="18.75" customHeight="1">
      <c r="A9" s="583"/>
      <c r="B9" s="212" t="s">
        <v>108</v>
      </c>
      <c r="C9" s="216">
        <v>0</v>
      </c>
      <c r="D9" s="584"/>
    </row>
    <row r="10" spans="1:4" s="218" customFormat="1" ht="18.75" customHeight="1">
      <c r="A10" s="583" t="s">
        <v>78</v>
      </c>
      <c r="B10" s="212" t="s">
        <v>149</v>
      </c>
      <c r="C10" s="216">
        <v>0</v>
      </c>
      <c r="D10" s="584" t="s">
        <v>150</v>
      </c>
    </row>
    <row r="11" spans="1:4" s="218" customFormat="1" ht="18.75" customHeight="1">
      <c r="A11" s="583"/>
      <c r="B11" s="212" t="s">
        <v>108</v>
      </c>
      <c r="C11" s="219">
        <v>0</v>
      </c>
      <c r="D11" s="584"/>
    </row>
    <row r="12" spans="1:4" s="218" customFormat="1" ht="18.75" customHeight="1">
      <c r="A12" s="583" t="s">
        <v>79</v>
      </c>
      <c r="B12" s="212" t="s">
        <v>149</v>
      </c>
      <c r="C12" s="216">
        <v>5656797</v>
      </c>
      <c r="D12" s="584" t="s">
        <v>154</v>
      </c>
    </row>
    <row r="13" spans="1:4" ht="18.75" customHeight="1">
      <c r="A13" s="583"/>
      <c r="B13" s="212" t="s">
        <v>108</v>
      </c>
      <c r="C13" s="216">
        <v>0</v>
      </c>
      <c r="D13" s="584"/>
    </row>
    <row r="14" spans="1:4" s="218" customFormat="1" ht="18.75" customHeight="1">
      <c r="A14" s="583" t="s">
        <v>92</v>
      </c>
      <c r="B14" s="212" t="s">
        <v>149</v>
      </c>
      <c r="C14" s="216">
        <v>9637506</v>
      </c>
      <c r="D14" s="584" t="s">
        <v>155</v>
      </c>
    </row>
    <row r="15" spans="1:4" ht="18.75" customHeight="1">
      <c r="A15" s="583"/>
      <c r="B15" s="212" t="s">
        <v>108</v>
      </c>
      <c r="C15" s="216">
        <v>1533000</v>
      </c>
      <c r="D15" s="584"/>
    </row>
    <row r="16" spans="1:4" ht="18.75" customHeight="1">
      <c r="A16" s="583" t="s">
        <v>93</v>
      </c>
      <c r="B16" s="212" t="s">
        <v>149</v>
      </c>
      <c r="C16" s="216">
        <v>11313594</v>
      </c>
      <c r="D16" s="584" t="s">
        <v>156</v>
      </c>
    </row>
    <row r="17" spans="1:4" ht="18.75" customHeight="1">
      <c r="A17" s="583"/>
      <c r="B17" s="212" t="s">
        <v>108</v>
      </c>
      <c r="C17" s="216">
        <v>0</v>
      </c>
      <c r="D17" s="584"/>
    </row>
    <row r="18" spans="1:4" ht="18.75" customHeight="1">
      <c r="A18" s="583" t="s">
        <v>157</v>
      </c>
      <c r="B18" s="212" t="s">
        <v>149</v>
      </c>
      <c r="C18" s="216">
        <v>9113728.5</v>
      </c>
      <c r="D18" s="584" t="s">
        <v>158</v>
      </c>
    </row>
    <row r="19" spans="1:4" ht="18.75" customHeight="1">
      <c r="A19" s="583"/>
      <c r="B19" s="212" t="s">
        <v>108</v>
      </c>
      <c r="C19" s="216">
        <v>0</v>
      </c>
      <c r="D19" s="584"/>
    </row>
    <row r="20" spans="1:4" ht="18.75" customHeight="1">
      <c r="A20" s="583" t="s">
        <v>159</v>
      </c>
      <c r="B20" s="212" t="s">
        <v>149</v>
      </c>
      <c r="C20" s="216">
        <v>14456259</v>
      </c>
      <c r="D20" s="584" t="s">
        <v>160</v>
      </c>
    </row>
    <row r="21" spans="1:4" ht="18.75" customHeight="1">
      <c r="A21" s="583"/>
      <c r="B21" s="212" t="s">
        <v>108</v>
      </c>
      <c r="C21" s="216">
        <v>0</v>
      </c>
      <c r="D21" s="584"/>
    </row>
    <row r="22" spans="1:4" ht="18.75" customHeight="1">
      <c r="A22" s="583" t="s">
        <v>161</v>
      </c>
      <c r="B22" s="212" t="s">
        <v>149</v>
      </c>
      <c r="C22" s="216">
        <v>6599596.5</v>
      </c>
      <c r="D22" s="584" t="s">
        <v>162</v>
      </c>
    </row>
    <row r="23" spans="1:4" ht="18.75" customHeight="1">
      <c r="A23" s="583"/>
      <c r="B23" s="212" t="s">
        <v>108</v>
      </c>
      <c r="C23" s="216">
        <v>3832500</v>
      </c>
      <c r="D23" s="584"/>
    </row>
    <row r="24" spans="1:4" ht="18.75" customHeight="1">
      <c r="A24" s="584" t="s">
        <v>133</v>
      </c>
      <c r="B24" s="212" t="s">
        <v>149</v>
      </c>
      <c r="C24" s="216">
        <v>8553699</v>
      </c>
      <c r="D24" s="584" t="s">
        <v>162</v>
      </c>
    </row>
    <row r="25" spans="1:4" ht="18.75" customHeight="1">
      <c r="A25" s="584"/>
      <c r="B25" s="212" t="s">
        <v>108</v>
      </c>
      <c r="C25" s="216">
        <v>3832500</v>
      </c>
      <c r="D25" s="583"/>
    </row>
    <row r="26" spans="1:4" ht="15">
      <c r="A26" s="581" t="s">
        <v>149</v>
      </c>
      <c r="B26" s="581"/>
      <c r="C26" s="220">
        <f>+C2+C4+C6+C8+C12+C14+C16+C18+C20+C22+C24+6000000</f>
        <v>98301033</v>
      </c>
      <c r="D26" s="221"/>
    </row>
    <row r="27" spans="1:4" ht="15">
      <c r="A27" s="581" t="s">
        <v>108</v>
      </c>
      <c r="B27" s="581"/>
      <c r="C27" s="220">
        <v>9288000</v>
      </c>
      <c r="D27" s="221"/>
    </row>
    <row r="28" spans="1:4" s="224" customFormat="1" ht="15">
      <c r="A28" s="582" t="s">
        <v>2</v>
      </c>
      <c r="B28" s="582"/>
      <c r="C28" s="222">
        <f>+C26+C27</f>
        <v>107589033</v>
      </c>
      <c r="D28" s="223"/>
    </row>
    <row r="29" ht="15">
      <c r="C29" s="226"/>
    </row>
    <row r="30" spans="1:2" ht="15">
      <c r="A30" s="214" t="s">
        <v>163</v>
      </c>
      <c r="B30" s="225" t="s">
        <v>164</v>
      </c>
    </row>
    <row r="31" spans="1:2" ht="15">
      <c r="A31" s="214" t="s">
        <v>165</v>
      </c>
      <c r="B31" s="228">
        <v>209511</v>
      </c>
    </row>
    <row r="32" spans="1:4" ht="15">
      <c r="A32" s="214" t="s">
        <v>166</v>
      </c>
      <c r="B32" s="228">
        <v>209511</v>
      </c>
      <c r="C32" s="226"/>
      <c r="D32" s="226"/>
    </row>
    <row r="33" spans="1:4" ht="15">
      <c r="A33" s="214" t="s">
        <v>167</v>
      </c>
      <c r="B33" s="228">
        <v>271546</v>
      </c>
      <c r="C33" s="226"/>
      <c r="D33" s="226"/>
    </row>
    <row r="34" spans="1:4" ht="15">
      <c r="A34" s="214" t="s">
        <v>168</v>
      </c>
      <c r="B34" s="228">
        <v>766500</v>
      </c>
      <c r="C34" s="226"/>
      <c r="D34" s="226"/>
    </row>
    <row r="35" ht="15">
      <c r="D35" s="229"/>
    </row>
  </sheetData>
  <sheetProtection/>
  <mergeCells count="27">
    <mergeCell ref="A2:A3"/>
    <mergeCell ref="D2:D3"/>
    <mergeCell ref="A4:A5"/>
    <mergeCell ref="D4:D5"/>
    <mergeCell ref="A6:A7"/>
    <mergeCell ref="D6:D7"/>
    <mergeCell ref="A8:A9"/>
    <mergeCell ref="D8:D9"/>
    <mergeCell ref="A10:A11"/>
    <mergeCell ref="D10:D11"/>
    <mergeCell ref="A12:A13"/>
    <mergeCell ref="D12:D13"/>
    <mergeCell ref="A14:A15"/>
    <mergeCell ref="D14:D15"/>
    <mergeCell ref="A16:A17"/>
    <mergeCell ref="D16:D17"/>
    <mergeCell ref="A18:A19"/>
    <mergeCell ref="D18:D19"/>
    <mergeCell ref="A26:B26"/>
    <mergeCell ref="A27:B27"/>
    <mergeCell ref="A28:B28"/>
    <mergeCell ref="A20:A21"/>
    <mergeCell ref="D20:D21"/>
    <mergeCell ref="A22:A23"/>
    <mergeCell ref="D22:D23"/>
    <mergeCell ref="A24:A25"/>
    <mergeCell ref="D24:D25"/>
  </mergeCells>
  <printOptions/>
  <pageMargins left="0.7086614173228347" right="0.7086614173228347" top="0.7480314960629921" bottom="0.7480314960629921" header="0.31496062992125984" footer="0.31496062992125984"/>
  <pageSetup fitToHeight="1" fitToWidth="1" horizontalDpi="600" verticalDpi="600" orientation="landscape" scale="82" r:id="rId1"/>
  <headerFooter>
    <oddHeader>&amp;C&amp;F</oddHeader>
  </headerFooter>
</worksheet>
</file>

<file path=xl/worksheets/sheet8.xml><?xml version="1.0" encoding="utf-8"?>
<worksheet xmlns="http://schemas.openxmlformats.org/spreadsheetml/2006/main" xmlns:r="http://schemas.openxmlformats.org/officeDocument/2006/relationships">
  <dimension ref="B2:O20"/>
  <sheetViews>
    <sheetView zoomScalePageLayoutView="0" workbookViewId="0" topLeftCell="A1">
      <selection activeCell="G7" sqref="G7"/>
    </sheetView>
  </sheetViews>
  <sheetFormatPr defaultColWidth="9.140625" defaultRowHeight="15"/>
  <cols>
    <col min="1" max="1" width="9.140625" style="192" customWidth="1"/>
    <col min="2" max="2" width="19.421875" style="192" customWidth="1"/>
    <col min="3" max="6" width="15.140625" style="192" customWidth="1"/>
    <col min="7" max="7" width="67.421875" style="192" customWidth="1"/>
    <col min="8" max="16384" width="9.140625" style="192" customWidth="1"/>
  </cols>
  <sheetData>
    <row r="2" spans="2:15" ht="21" customHeight="1">
      <c r="B2" s="564" t="s">
        <v>13</v>
      </c>
      <c r="C2" s="564"/>
      <c r="D2" s="564"/>
      <c r="E2" s="564"/>
      <c r="F2" s="564"/>
      <c r="G2" s="564"/>
      <c r="H2" s="200"/>
      <c r="I2" s="200"/>
      <c r="K2" s="193"/>
      <c r="L2" s="193"/>
      <c r="M2" s="194"/>
      <c r="O2" s="193"/>
    </row>
    <row r="3" spans="2:15" ht="21" customHeight="1">
      <c r="B3" s="564" t="s">
        <v>172</v>
      </c>
      <c r="C3" s="564"/>
      <c r="D3" s="564"/>
      <c r="E3" s="564"/>
      <c r="F3" s="564"/>
      <c r="G3" s="564"/>
      <c r="H3" s="200"/>
      <c r="I3" s="200"/>
      <c r="K3" s="193"/>
      <c r="L3" s="193"/>
      <c r="M3" s="194"/>
      <c r="O3" s="193"/>
    </row>
    <row r="4" ht="15.75" thickBot="1"/>
    <row r="5" spans="2:7" ht="15.75" thickBot="1">
      <c r="B5" s="196" t="s">
        <v>173</v>
      </c>
      <c r="C5" s="270" t="s">
        <v>65</v>
      </c>
      <c r="D5" s="197" t="s">
        <v>54</v>
      </c>
      <c r="E5" s="197" t="s">
        <v>174</v>
      </c>
      <c r="F5" s="272" t="s">
        <v>48</v>
      </c>
      <c r="G5" s="285" t="s">
        <v>66</v>
      </c>
    </row>
    <row r="6" spans="2:7" ht="46.5">
      <c r="B6" s="287" t="s">
        <v>56</v>
      </c>
      <c r="C6" s="288">
        <v>774000</v>
      </c>
      <c r="D6" s="289">
        <v>9</v>
      </c>
      <c r="E6" s="289" t="s">
        <v>60</v>
      </c>
      <c r="F6" s="290">
        <f>+D6*C6</f>
        <v>6966000</v>
      </c>
      <c r="G6" s="291" t="s">
        <v>251</v>
      </c>
    </row>
    <row r="7" spans="2:7" ht="31.5" thickBot="1">
      <c r="B7" s="292" t="s">
        <v>85</v>
      </c>
      <c r="C7" s="293">
        <v>869400</v>
      </c>
      <c r="D7" s="294">
        <v>15</v>
      </c>
      <c r="E7" s="294" t="s">
        <v>57</v>
      </c>
      <c r="F7" s="293">
        <f>+D7*C7</f>
        <v>13041000</v>
      </c>
      <c r="G7" s="295" t="s">
        <v>175</v>
      </c>
    </row>
    <row r="8" spans="2:7" s="232" customFormat="1" ht="15.75" thickBot="1">
      <c r="B8" s="585" t="s">
        <v>2</v>
      </c>
      <c r="C8" s="586"/>
      <c r="D8" s="586"/>
      <c r="E8" s="587"/>
      <c r="F8" s="277">
        <f>SUM(F6:F7)</f>
        <v>20007000</v>
      </c>
      <c r="G8" s="286"/>
    </row>
    <row r="10" ht="15">
      <c r="F10" s="350"/>
    </row>
    <row r="12" spans="2:5" s="232" customFormat="1" ht="15">
      <c r="B12" s="588" t="s">
        <v>176</v>
      </c>
      <c r="C12" s="588"/>
      <c r="D12" s="588"/>
      <c r="E12" s="588"/>
    </row>
    <row r="13" spans="2:5" ht="15">
      <c r="B13" s="233"/>
      <c r="C13" s="233" t="s">
        <v>177</v>
      </c>
      <c r="D13" s="233" t="s">
        <v>178</v>
      </c>
      <c r="E13" s="233" t="s">
        <v>179</v>
      </c>
    </row>
    <row r="14" spans="2:5" ht="15">
      <c r="B14" s="589" t="s">
        <v>180</v>
      </c>
      <c r="C14" s="234" t="s">
        <v>181</v>
      </c>
      <c r="D14" s="235" t="s">
        <v>182</v>
      </c>
      <c r="E14" s="234">
        <v>4</v>
      </c>
    </row>
    <row r="15" spans="2:5" ht="15">
      <c r="B15" s="589"/>
      <c r="C15" s="234" t="s">
        <v>183</v>
      </c>
      <c r="D15" s="235" t="s">
        <v>182</v>
      </c>
      <c r="E15" s="234">
        <v>2</v>
      </c>
    </row>
    <row r="16" spans="2:5" ht="30.75">
      <c r="B16" s="589"/>
      <c r="C16" s="234" t="s">
        <v>184</v>
      </c>
      <c r="D16" s="235" t="s">
        <v>185</v>
      </c>
      <c r="E16" s="234">
        <v>2</v>
      </c>
    </row>
    <row r="17" spans="2:5" ht="30.75">
      <c r="B17" s="589"/>
      <c r="C17" s="234" t="s">
        <v>186</v>
      </c>
      <c r="D17" s="235" t="s">
        <v>185</v>
      </c>
      <c r="E17" s="234">
        <v>2</v>
      </c>
    </row>
    <row r="18" spans="2:5" ht="30.75">
      <c r="B18" s="589"/>
      <c r="C18" s="234" t="s">
        <v>187</v>
      </c>
      <c r="D18" s="235" t="s">
        <v>188</v>
      </c>
      <c r="E18" s="234">
        <v>3</v>
      </c>
    </row>
    <row r="19" spans="2:5" ht="30.75">
      <c r="B19" s="589"/>
      <c r="C19" s="234" t="s">
        <v>189</v>
      </c>
      <c r="D19" s="235" t="s">
        <v>190</v>
      </c>
      <c r="E19" s="234">
        <v>2</v>
      </c>
    </row>
    <row r="20" spans="2:3" ht="15">
      <c r="B20" s="236"/>
      <c r="C20" s="237" t="s">
        <v>191</v>
      </c>
    </row>
  </sheetData>
  <sheetProtection/>
  <mergeCells count="5">
    <mergeCell ref="B2:G2"/>
    <mergeCell ref="B3:G3"/>
    <mergeCell ref="B8:E8"/>
    <mergeCell ref="B12:E12"/>
    <mergeCell ref="B14:B19"/>
  </mergeCells>
  <printOptions/>
  <pageMargins left="0.7086614173228347" right="0.7086614173228347" top="0.7480314960629921" bottom="0.7480314960629921" header="0.31496062992125984" footer="0.31496062992125984"/>
  <pageSetup horizontalDpi="300" verticalDpi="300" orientation="landscape" scale="80" r:id="rId1"/>
</worksheet>
</file>

<file path=xl/worksheets/sheet9.xml><?xml version="1.0" encoding="utf-8"?>
<worksheet xmlns="http://schemas.openxmlformats.org/spreadsheetml/2006/main" xmlns:r="http://schemas.openxmlformats.org/officeDocument/2006/relationships">
  <dimension ref="B2:O20"/>
  <sheetViews>
    <sheetView zoomScalePageLayoutView="0" workbookViewId="0" topLeftCell="A1">
      <selection activeCell="F8" sqref="F8"/>
    </sheetView>
  </sheetViews>
  <sheetFormatPr defaultColWidth="9.140625" defaultRowHeight="15"/>
  <cols>
    <col min="1" max="1" width="9.140625" style="192" customWidth="1"/>
    <col min="2" max="2" width="19.421875" style="192" customWidth="1"/>
    <col min="3" max="6" width="15.140625" style="192" customWidth="1"/>
    <col min="7" max="7" width="62.421875" style="192" customWidth="1"/>
    <col min="8" max="16384" width="9.140625" style="192" customWidth="1"/>
  </cols>
  <sheetData>
    <row r="2" spans="2:15" ht="21" customHeight="1">
      <c r="B2" s="564" t="s">
        <v>13</v>
      </c>
      <c r="C2" s="564"/>
      <c r="D2" s="564"/>
      <c r="E2" s="564"/>
      <c r="F2" s="564"/>
      <c r="G2" s="564"/>
      <c r="H2" s="200"/>
      <c r="I2" s="200"/>
      <c r="K2" s="193"/>
      <c r="L2" s="193"/>
      <c r="M2" s="194"/>
      <c r="O2" s="193"/>
    </row>
    <row r="3" spans="2:15" ht="50.25" customHeight="1">
      <c r="B3" s="564" t="s">
        <v>193</v>
      </c>
      <c r="C3" s="564"/>
      <c r="D3" s="564"/>
      <c r="E3" s="564"/>
      <c r="F3" s="564"/>
      <c r="G3" s="564"/>
      <c r="H3" s="200"/>
      <c r="I3" s="200"/>
      <c r="K3" s="193"/>
      <c r="L3" s="193"/>
      <c r="M3" s="194"/>
      <c r="O3" s="193"/>
    </row>
    <row r="4" ht="15.75" thickBot="1"/>
    <row r="5" spans="2:7" ht="15.75" thickBot="1">
      <c r="B5" s="208" t="s">
        <v>173</v>
      </c>
      <c r="C5" s="244" t="s">
        <v>65</v>
      </c>
      <c r="D5" s="245" t="s">
        <v>54</v>
      </c>
      <c r="E5" s="245" t="s">
        <v>174</v>
      </c>
      <c r="F5" s="246" t="s">
        <v>48</v>
      </c>
      <c r="G5" s="247" t="s">
        <v>66</v>
      </c>
    </row>
    <row r="6" spans="2:7" ht="46.5" thickBot="1">
      <c r="B6" s="239" t="s">
        <v>192</v>
      </c>
      <c r="C6" s="240">
        <v>130000</v>
      </c>
      <c r="D6" s="241">
        <v>50</v>
      </c>
      <c r="E6" s="242" t="s">
        <v>192</v>
      </c>
      <c r="F6" s="243">
        <f>+C6*D6</f>
        <v>6500000</v>
      </c>
      <c r="G6" s="248" t="s">
        <v>194</v>
      </c>
    </row>
    <row r="7" spans="2:7" s="232" customFormat="1" ht="15.75" thickBot="1">
      <c r="B7" s="249" t="s">
        <v>2</v>
      </c>
      <c r="C7" s="250"/>
      <c r="D7" s="251"/>
      <c r="E7" s="252"/>
      <c r="F7" s="253">
        <f>SUM(F6:F6)</f>
        <v>6500000</v>
      </c>
      <c r="G7" s="254"/>
    </row>
    <row r="8" ht="15">
      <c r="F8" s="351"/>
    </row>
    <row r="11" spans="2:5" s="232" customFormat="1" ht="15">
      <c r="B11" s="588" t="s">
        <v>176</v>
      </c>
      <c r="C11" s="588"/>
      <c r="D11" s="588"/>
      <c r="E11" s="588"/>
    </row>
    <row r="12" spans="2:5" ht="15">
      <c r="B12" s="233"/>
      <c r="C12" s="233" t="s">
        <v>177</v>
      </c>
      <c r="D12" s="233" t="s">
        <v>178</v>
      </c>
      <c r="E12" s="233" t="s">
        <v>179</v>
      </c>
    </row>
    <row r="13" spans="2:5" ht="30.75">
      <c r="B13" s="590" t="s">
        <v>195</v>
      </c>
      <c r="C13" s="593" t="s">
        <v>184</v>
      </c>
      <c r="D13" s="235" t="s">
        <v>196</v>
      </c>
      <c r="E13" s="234">
        <v>4</v>
      </c>
    </row>
    <row r="14" spans="2:5" ht="30.75">
      <c r="B14" s="591"/>
      <c r="C14" s="594"/>
      <c r="D14" s="235" t="s">
        <v>197</v>
      </c>
      <c r="E14" s="234">
        <v>7</v>
      </c>
    </row>
    <row r="15" spans="2:5" ht="30.75">
      <c r="B15" s="591"/>
      <c r="C15" s="594"/>
      <c r="D15" s="235" t="s">
        <v>198</v>
      </c>
      <c r="E15" s="234">
        <v>8</v>
      </c>
    </row>
    <row r="16" spans="2:5" ht="30.75">
      <c r="B16" s="591"/>
      <c r="C16" s="595"/>
      <c r="D16" s="235" t="s">
        <v>199</v>
      </c>
      <c r="E16" s="234">
        <v>6</v>
      </c>
    </row>
    <row r="17" spans="2:5" ht="30.75">
      <c r="B17" s="591"/>
      <c r="C17" s="593" t="s">
        <v>186</v>
      </c>
      <c r="D17" s="235" t="s">
        <v>196</v>
      </c>
      <c r="E17" s="234">
        <v>4</v>
      </c>
    </row>
    <row r="18" spans="2:5" ht="30.75">
      <c r="B18" s="591"/>
      <c r="C18" s="594"/>
      <c r="D18" s="235" t="s">
        <v>197</v>
      </c>
      <c r="E18" s="234">
        <v>7</v>
      </c>
    </row>
    <row r="19" spans="2:5" ht="30.75">
      <c r="B19" s="591"/>
      <c r="C19" s="594"/>
      <c r="D19" s="235" t="s">
        <v>198</v>
      </c>
      <c r="E19" s="234">
        <v>8</v>
      </c>
    </row>
    <row r="20" spans="2:5" ht="30.75">
      <c r="B20" s="592"/>
      <c r="C20" s="595"/>
      <c r="D20" s="235" t="s">
        <v>199</v>
      </c>
      <c r="E20" s="234">
        <v>6</v>
      </c>
    </row>
  </sheetData>
  <sheetProtection/>
  <mergeCells count="6">
    <mergeCell ref="B2:G2"/>
    <mergeCell ref="B3:G3"/>
    <mergeCell ref="B11:E11"/>
    <mergeCell ref="B13:B20"/>
    <mergeCell ref="C13:C16"/>
    <mergeCell ref="C17:C20"/>
  </mergeCells>
  <printOptions/>
  <pageMargins left="0.7086614173228347" right="0.7086614173228347" top="0.7480314960629921" bottom="0.7480314960629921" header="0.31496062992125984" footer="0.31496062992125984"/>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LENOVO</cp:lastModifiedBy>
  <cp:lastPrinted>2024-03-04T14:25:05Z</cp:lastPrinted>
  <dcterms:created xsi:type="dcterms:W3CDTF">2015-08-20T16:35:16Z</dcterms:created>
  <dcterms:modified xsi:type="dcterms:W3CDTF">2024-07-07T20:39:11Z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0x010100F269910781EA2B4E949D58014774A6B0</vt:lpwstr>
  </property>
</Properties>
</file>