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30" tabRatio="739" firstSheet="11" activeTab="11"/>
  </bookViews>
  <sheets>
    <sheet name="RESUMEN" sheetId="1" state="hidden" r:id="rId1"/>
    <sheet name="CONSOLIDADO ANEXO 2" sheetId="2" state="hidden" r:id="rId2"/>
    <sheet name="INGRESOS Pendiente x cierre año" sheetId="3" state="hidden" r:id="rId3"/>
    <sheet name="SUPUESTOS" sheetId="4" state="hidden" r:id="rId4"/>
    <sheet name="RESUMEN 2022" sheetId="5" state="hidden" r:id="rId5"/>
    <sheet name="INGRESOS Intereses mora" sheetId="6" state="hidden" r:id="rId6"/>
    <sheet name="INGRESOS Intereses finan" sheetId="7" state="hidden" r:id="rId7"/>
    <sheet name="SUPUESTOS GASTOS" sheetId="8" state="hidden" r:id="rId8"/>
    <sheet name="PRESTACION DE SERVICIOS" sheetId="9" state="hidden" r:id="rId9"/>
    <sheet name="NOMINA 2022 PLANTA" sheetId="10" state="hidden" r:id="rId10"/>
    <sheet name="NOMINA 1ER TRIM" sheetId="11" state="hidden" r:id="rId11"/>
    <sheet name="SOLICITUDES 2022" sheetId="12" r:id="rId12"/>
    <sheet name="SEMINARIO INTERNACIONAL" sheetId="13" state="hidden" r:id="rId13"/>
  </sheets>
  <externalReferences>
    <externalReference r:id="rId16"/>
    <externalReference r:id="rId17"/>
    <externalReference r:id="rId18"/>
    <externalReference r:id="rId19"/>
  </externalReferences>
  <definedNames>
    <definedName name="_xlnm._FilterDatabase" localSheetId="10" hidden="1">'NOMINA 1ER TRIM'!$B$1:$W$104</definedName>
    <definedName name="_xlnm._FilterDatabase" localSheetId="9" hidden="1">'NOMINA 2022 PLANTA'!$B$1:$W$104</definedName>
    <definedName name="_xlnm._FilterDatabase" localSheetId="0" hidden="1">'RESUMEN'!$B$8:$H$115</definedName>
    <definedName name="_xlnm._FilterDatabase" localSheetId="12" hidden="1">'SEMINARIO INTERNACIONAL'!$B$5:$F$21</definedName>
    <definedName name="_xlnm._FilterDatabase" localSheetId="11" hidden="1">'SOLICITUDES 2022'!$B$8:$V$114</definedName>
    <definedName name="_xlnm.Print_Area" localSheetId="6">'INGRESOS Intereses finan'!#REF!</definedName>
    <definedName name="_xlnm.Print_Area" localSheetId="4">'RESUMEN 2022'!$B$6:$K$132</definedName>
    <definedName name="data" localSheetId="6">#REF!</definedName>
    <definedName name="data" localSheetId="5">#REF!</definedName>
    <definedName name="data" localSheetId="10">#REF!</definedName>
    <definedName name="data" localSheetId="8">#REF!</definedName>
    <definedName name="data" localSheetId="0">#REF!</definedName>
    <definedName name="data" localSheetId="12">#REF!</definedName>
    <definedName name="data">#REF!</definedName>
    <definedName name="Estres" localSheetId="10">#REF!</definedName>
    <definedName name="Estres" localSheetId="0">#REF!</definedName>
    <definedName name="Estres" localSheetId="12">#REF!</definedName>
    <definedName name="Estres">#REF!</definedName>
    <definedName name="FECFIN" localSheetId="6">#REF!</definedName>
    <definedName name="FECFIN" localSheetId="10">#REF!</definedName>
    <definedName name="FECFIN" localSheetId="8">#REF!</definedName>
    <definedName name="FECFIN" localSheetId="0">#REF!</definedName>
    <definedName name="FECFIN" localSheetId="12">#REF!</definedName>
    <definedName name="FECFIN">#REF!</definedName>
    <definedName name="FECHAF" localSheetId="6">#REF!</definedName>
    <definedName name="FECHAF" localSheetId="10">#REF!</definedName>
    <definedName name="FECHAF" localSheetId="8">#REF!</definedName>
    <definedName name="FECHAF" localSheetId="0">#REF!</definedName>
    <definedName name="FECHAF" localSheetId="12">#REF!</definedName>
    <definedName name="FECHAF">#REF!</definedName>
    <definedName name="FECHAFIN" localSheetId="0">'[1]RECAUDO OK'!$M$59</definedName>
    <definedName name="FECHAFIN">'[2]RECAUDO OK'!$M$59</definedName>
    <definedName name="FECHAI" localSheetId="6">#REF!</definedName>
    <definedName name="FECHAI" localSheetId="10">#REF!</definedName>
    <definedName name="FECHAI" localSheetId="8">#REF!</definedName>
    <definedName name="FECHAI" localSheetId="0">#REF!</definedName>
    <definedName name="FECHAI" localSheetId="12">#REF!</definedName>
    <definedName name="FECHAI">#REF!</definedName>
    <definedName name="FECHAINI" localSheetId="0">'[1]RECAUDO OK'!$M$58</definedName>
    <definedName name="FECHAINI">'[2]RECAUDO OK'!$M$58</definedName>
    <definedName name="FECINI" localSheetId="6">#REF!</definedName>
    <definedName name="FECINI" localSheetId="10">#REF!</definedName>
    <definedName name="FECINI" localSheetId="8">#REF!</definedName>
    <definedName name="FECINI" localSheetId="0">#REF!</definedName>
    <definedName name="FECINI" localSheetId="12">#REF!</definedName>
    <definedName name="FECINI">#REF!</definedName>
    <definedName name="FECINIC" localSheetId="6">#REF!</definedName>
    <definedName name="FECINIC" localSheetId="10">#REF!</definedName>
    <definedName name="FECINIC" localSheetId="8">#REF!</definedName>
    <definedName name="FECINIC" localSheetId="0">#REF!</definedName>
    <definedName name="FECINIC" localSheetId="12">#REF!</definedName>
    <definedName name="FECINIC">#REF!</definedName>
    <definedName name="FEFIN" localSheetId="6">'[2]RECAUDO OK'!#REF!</definedName>
    <definedName name="FEFIN" localSheetId="10">'[2]RECAUDO OK'!#REF!</definedName>
    <definedName name="FEFIN" localSheetId="8">'[2]RECAUDO OK'!#REF!</definedName>
    <definedName name="FEFIN" localSheetId="0">'[1]RECAUDO OK'!#REF!</definedName>
    <definedName name="FEFIN" localSheetId="12">'[2]RECAUDO OK'!#REF!</definedName>
    <definedName name="FEFIN">'[2]RECAUDO OK'!#REF!</definedName>
  </definedNames>
  <calcPr fullCalcOnLoad="1"/>
</workbook>
</file>

<file path=xl/comments12.xml><?xml version="1.0" encoding="utf-8"?>
<comments xmlns="http://schemas.openxmlformats.org/spreadsheetml/2006/main">
  <authors>
    <author>Usuario</author>
  </authors>
  <commentList>
    <comment ref="T1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REPORTE ERRADO EN EL 3ER TRIM EN EL ACUERDO 18-2022 Y EN EL CHIP</t>
        </r>
      </text>
    </comment>
    <comment ref="T1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Usuario:
REPORTE ERRADO EN EL 3ER TRIM EN EL ACUERDO 18-2022 Y EN EL CHIP</t>
        </r>
      </text>
    </comment>
    <comment ref="T1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Usuario:
REPORTE ERRADO EN EL 3ER TRIM EN EL ACUERDO 18-2022 Y EN EL CHIP</t>
        </r>
      </text>
    </comment>
  </commentList>
</comments>
</file>

<file path=xl/sharedStrings.xml><?xml version="1.0" encoding="utf-8"?>
<sst xmlns="http://schemas.openxmlformats.org/spreadsheetml/2006/main" count="1235" uniqueCount="446">
  <si>
    <t>IPC</t>
  </si>
  <si>
    <t>SUELDO BASICO</t>
  </si>
  <si>
    <t>IBC INFORMATIVO</t>
  </si>
  <si>
    <t>SUELDO BASICO AÑO</t>
  </si>
  <si>
    <t>CESANTIAS</t>
  </si>
  <si>
    <t>INTERESES CESANTIAS</t>
  </si>
  <si>
    <t>PRIMA DE SERVICIOS</t>
  </si>
  <si>
    <t>VACACIONES</t>
  </si>
  <si>
    <t>PENSION</t>
  </si>
  <si>
    <t>SALUD</t>
  </si>
  <si>
    <t>ARL</t>
  </si>
  <si>
    <t>CAJA</t>
  </si>
  <si>
    <t>SENA</t>
  </si>
  <si>
    <t>ICBF</t>
  </si>
  <si>
    <t>GASTOS DE PERSONAL</t>
  </si>
  <si>
    <t>ASESOR DE RECAUDO ZONA 1</t>
  </si>
  <si>
    <t>ASESOR DE RECAUDO ZONA 2</t>
  </si>
  <si>
    <t>ASESOR DE RECAUDO ZONA 3</t>
  </si>
  <si>
    <t>ASESOR DE RECAUDO ZONA 4</t>
  </si>
  <si>
    <t>AÑO</t>
  </si>
  <si>
    <t>RECAUDO</t>
  </si>
  <si>
    <t>FUNCIONAMIENTO</t>
  </si>
  <si>
    <t>PRESTACIONES SOCIALES</t>
  </si>
  <si>
    <t>APORTES PARAFISCALES</t>
  </si>
  <si>
    <t>PERSONAL ADMINISTRATIVO</t>
  </si>
  <si>
    <t>MESES</t>
  </si>
  <si>
    <t>Fondo Nacional de Fomento de la Papa</t>
  </si>
  <si>
    <t>Dirección Fondo Nacional de Fomento de la Papa</t>
  </si>
  <si>
    <t>TOTAL</t>
  </si>
  <si>
    <t>Correo</t>
  </si>
  <si>
    <t>Viáticos y Gastos de viaje</t>
  </si>
  <si>
    <t>Capacitación y divulgación</t>
  </si>
  <si>
    <t xml:space="preserve">Materiales y suministros </t>
  </si>
  <si>
    <t>PRESUPUESTO DE GASTOS DE PERSONAL FONDO NACIONAL DE FOMENTO DE LA PAPA</t>
  </si>
  <si>
    <t>AUXILIO DE TRANSPORTE</t>
  </si>
  <si>
    <t>SUBSIDIO DE TRANSPORTE</t>
  </si>
  <si>
    <t>TRIMESTRE</t>
  </si>
  <si>
    <t>INTERESES GENERADOS</t>
  </si>
  <si>
    <t>Meta total Trimestre I</t>
  </si>
  <si>
    <t>Meta total Trimestre II</t>
  </si>
  <si>
    <t>Meta total Trimestre III</t>
  </si>
  <si>
    <t>Meta total Trimestre IV</t>
  </si>
  <si>
    <t>ASESOR DE RECAUDO ZONA 5</t>
  </si>
  <si>
    <t>SERVICIOS PERSONALES</t>
  </si>
  <si>
    <t xml:space="preserve">Honorarios </t>
  </si>
  <si>
    <t>GASTOS GENERALES</t>
  </si>
  <si>
    <t>Cuota de Auditaje C.G.R.</t>
  </si>
  <si>
    <t>DIRECCION DE CADENAS AGRICOLAS Y FORESTALES</t>
  </si>
  <si>
    <t>PROGRAMA DE SEGUIMIENTO Y EVALUACION FONDOS PARAFISCALES</t>
  </si>
  <si>
    <t>FONDO NACIONAL DE FOMENTO DE LA PAPA</t>
  </si>
  <si>
    <t>CUENTAS</t>
  </si>
  <si>
    <t>APROP</t>
  </si>
  <si>
    <t>MODIF.</t>
  </si>
  <si>
    <t>TRASLADO</t>
  </si>
  <si>
    <t>INGRESOS OPERACIONALES</t>
  </si>
  <si>
    <t>Cuota de Fomento</t>
  </si>
  <si>
    <t>Intereses por Mora</t>
  </si>
  <si>
    <t>INGRESOS NO OPERACIONALES</t>
  </si>
  <si>
    <t>Otros Ingresos</t>
  </si>
  <si>
    <t>Ingresos Financieros</t>
  </si>
  <si>
    <t>TOTAL INGRESOS</t>
  </si>
  <si>
    <t>EGRESOS</t>
  </si>
  <si>
    <t>FUNCIONAMIENTO:</t>
  </si>
  <si>
    <t>Sueldos</t>
  </si>
  <si>
    <t>Vacaciones</t>
  </si>
  <si>
    <t>Prima legal</t>
  </si>
  <si>
    <t xml:space="preserve">Dotación y suministro </t>
  </si>
  <si>
    <t>Cesantías</t>
  </si>
  <si>
    <t>Intereses de cesantías</t>
  </si>
  <si>
    <t>Seguros y/o fondos privados</t>
  </si>
  <si>
    <t>Caja de compensación</t>
  </si>
  <si>
    <t>Aportes ICBF y SENA</t>
  </si>
  <si>
    <t>Dotaciones</t>
  </si>
  <si>
    <t>Servicios públicos</t>
  </si>
  <si>
    <t>Impresos y publicaciones</t>
  </si>
  <si>
    <t>Transportes fletes y acarreos</t>
  </si>
  <si>
    <t>Comisiones y gastos bancarios</t>
  </si>
  <si>
    <t xml:space="preserve">Arriendos </t>
  </si>
  <si>
    <t>Gastos Junta Directiva</t>
  </si>
  <si>
    <t xml:space="preserve">Contraprestación </t>
  </si>
  <si>
    <t>ESTUDIOS Y PROYECTOS</t>
  </si>
  <si>
    <t>RESERVA PROY. INV. Y GT.</t>
  </si>
  <si>
    <t>TOTAL PRESUPUESTO</t>
  </si>
  <si>
    <t>Cifra de control</t>
  </si>
  <si>
    <t>%</t>
  </si>
  <si>
    <t>VALOR</t>
  </si>
  <si>
    <t>INDICADOR</t>
  </si>
  <si>
    <t>DOTACION</t>
  </si>
  <si>
    <t>Auxilio de Transporte</t>
  </si>
  <si>
    <t>MINISTERIO DE AGRICULTURA Y DESARROLLO RURAL</t>
  </si>
  <si>
    <t>ANEXO Nº 1</t>
  </si>
  <si>
    <t>FORMATO N° 1</t>
  </si>
  <si>
    <t>AUMENTO SMLV</t>
  </si>
  <si>
    <t xml:space="preserve">VARIACION % </t>
  </si>
  <si>
    <t>DOTACION ANUAL DE LEY AUXILIAR</t>
  </si>
  <si>
    <t xml:space="preserve">Compra base de datos </t>
  </si>
  <si>
    <t>Transferencia de tecnología</t>
  </si>
  <si>
    <t>Superávit Vigencias anteriores</t>
  </si>
  <si>
    <t>INICIO</t>
  </si>
  <si>
    <t xml:space="preserve">FINALIZACION </t>
  </si>
  <si>
    <t>FONDO NACIONAL DE FOMENTO DE LA PAPA - FNFP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</si>
  <si>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</si>
  <si>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</si>
  <si>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</si>
  <si>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</si>
  <si>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</si>
  <si>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</si>
  <si>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</si>
  <si>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</si>
  <si>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CANTIDAD</t>
  </si>
  <si>
    <t>MATERIALES Y SUMINISTROS</t>
  </si>
  <si>
    <t>Honorarios auditoria</t>
  </si>
  <si>
    <t>ANEXO Nº 2</t>
  </si>
  <si>
    <t>PROGRAMA</t>
  </si>
  <si>
    <t>Estudios Económicos</t>
  </si>
  <si>
    <t>Investigación y Transferencia de Tecnología</t>
  </si>
  <si>
    <t>PART.</t>
  </si>
  <si>
    <t>PROYECTO Nº 3</t>
  </si>
  <si>
    <t>PROYECTO Nº 4</t>
  </si>
  <si>
    <t>PROYECTO Nº 5</t>
  </si>
  <si>
    <t>SUBTOTAL GASTOS</t>
  </si>
  <si>
    <t>SERVICIO DE LA DEUDA</t>
  </si>
  <si>
    <t>SUBTOTAL PRESUPUESTO</t>
  </si>
  <si>
    <t>RESERVA PARA FUTURAS INV. Y GASTOS</t>
  </si>
  <si>
    <t xml:space="preserve">TOTAL PRESUPUESTO </t>
  </si>
  <si>
    <t>TOTAL GASTOS DE PERSONAL</t>
  </si>
  <si>
    <t>EXTENSIONISTAS 1</t>
  </si>
  <si>
    <t>https://www.superfinanciera.gov.co/reportes/</t>
  </si>
  <si>
    <t>PRESUP</t>
  </si>
  <si>
    <t>PRESUP DEF</t>
  </si>
  <si>
    <t>JUSTIFICACIÓN</t>
  </si>
  <si>
    <t>VLR UNITARIO</t>
  </si>
  <si>
    <t>UND MEDIDA</t>
  </si>
  <si>
    <t>Meses</t>
  </si>
  <si>
    <t>PASANTE SENA</t>
  </si>
  <si>
    <t>ASISTENTE DE RECAUDO</t>
  </si>
  <si>
    <t>GASTOS DE FUNCIONAMIENTO</t>
  </si>
  <si>
    <t>Comercialización</t>
  </si>
  <si>
    <t>Cuota de Fomento vigencias anteriores</t>
  </si>
  <si>
    <t>DISEÑADOR</t>
  </si>
  <si>
    <t>DIRECTOR DE MERCADEO</t>
  </si>
  <si>
    <t>Cuota de Fomento Vigencias Anteriores</t>
  </si>
  <si>
    <t>% INCREMENTO</t>
  </si>
  <si>
    <t>ÍTEM</t>
  </si>
  <si>
    <t>UNIDADES</t>
  </si>
  <si>
    <t>ASESOR DE RECAUDO ZONA 6</t>
  </si>
  <si>
    <t xml:space="preserve">TOTAL  FUNCIONAMIENTO </t>
  </si>
  <si>
    <t>TOTAL  INVERSION</t>
  </si>
  <si>
    <t>TOTAL  NOMINA  FONDO</t>
  </si>
  <si>
    <t>DESCRIPCIÓN</t>
  </si>
  <si>
    <t>ATL</t>
  </si>
  <si>
    <t>BTL</t>
  </si>
  <si>
    <t>Digital</t>
  </si>
  <si>
    <t>ZONA 2</t>
  </si>
  <si>
    <t>ZONA 3</t>
  </si>
  <si>
    <t>ZONA 4</t>
  </si>
  <si>
    <t>ZONA 5</t>
  </si>
  <si>
    <t>ZONA 6</t>
  </si>
  <si>
    <t>Honorarios normas internacionales</t>
  </si>
  <si>
    <t>MES</t>
  </si>
  <si>
    <t>SEPTIEMBRE</t>
  </si>
  <si>
    <t>OCTUBRE</t>
  </si>
  <si>
    <t>NOVIEMBRE</t>
  </si>
  <si>
    <t>DICIEMBRE</t>
  </si>
  <si>
    <t>Tasa EA</t>
  </si>
  <si>
    <t>Tasa EM</t>
  </si>
  <si>
    <t>CDT</t>
  </si>
  <si>
    <t xml:space="preserve">% PARTICIPACIÓN </t>
  </si>
  <si>
    <t>ZONAS</t>
  </si>
  <si>
    <t>ZONA 1</t>
  </si>
  <si>
    <t>VLR TOTAL 2019</t>
  </si>
  <si>
    <t>Diferencia</t>
  </si>
  <si>
    <t>INTERESES</t>
  </si>
  <si>
    <t>HECTÁREAS (has)</t>
  </si>
  <si>
    <t>TONELADAS (ton/ha)</t>
  </si>
  <si>
    <t>PESOS/TONELADAS ($/ton)</t>
  </si>
  <si>
    <t>PESOS ($)</t>
  </si>
  <si>
    <t>PORCENTAJE (%)</t>
  </si>
  <si>
    <t>Honorarios jurídico</t>
  </si>
  <si>
    <t>Valor por año</t>
  </si>
  <si>
    <t>Honorarios chef</t>
  </si>
  <si>
    <t>Semillas (Básicas, Registradas, certificada o de calidad declarada)</t>
  </si>
  <si>
    <t>Análisis de suelo</t>
  </si>
  <si>
    <t>Mantenimiento</t>
  </si>
  <si>
    <t>Seguros, impuestos y gastos legales</t>
  </si>
  <si>
    <t>ASESOR DE RECAUDO ZONA 7</t>
  </si>
  <si>
    <t>ASESOR DE RECAUDO ZONA 8</t>
  </si>
  <si>
    <t>ITPA</t>
  </si>
  <si>
    <t>ZONA 7</t>
  </si>
  <si>
    <t>ZONA 8</t>
  </si>
  <si>
    <t>Honorarios extensionistas OPS</t>
  </si>
  <si>
    <t>Se requiere la contratación de 24 extensionistas por OPS durante 45 días, para la consecución de los productores beneficiarios del proyecto contribuyentes de la cuota de fomento.</t>
  </si>
  <si>
    <t>Se requiere el pago servicios profesionales de Auditoria Interna por 12 meses. Presentándose un incremento del 3,5% del IPC proyectado para la vigencia 2019. A partir del segundo trimestre de la vigencia 2018 se presenta el cambio de auditoria.</t>
  </si>
  <si>
    <t>Se requieren dar continuidad al proceso de representación judicial frente a la acción de rendición de cuentas adelanta ante Asohofrucol para el traslado de recursos pendiente por parte de esta entidad al FNFP. Presenta una disminución del 25% teniendo en cuenta la forma de pago pactada en el contrato de prestación de servicios.</t>
  </si>
  <si>
    <t>MERCADEO</t>
  </si>
  <si>
    <t xml:space="preserve">Honorario de construcción de prototipo </t>
  </si>
  <si>
    <t>Se requiere  la  realización de un convenio con la Universidad de los Andes para el diseño e implementación de un prototipo automatizado para la extracción de almidón a partir de papa Diacol Capiro de descarte y evaluación de la factibilidad de una escalabilidad futura. Este proyecto no se contemplaba en la vigencia anterior.</t>
  </si>
  <si>
    <t>PROYECTO</t>
  </si>
  <si>
    <t>CAMPAÑA DE CONSUMO</t>
  </si>
  <si>
    <t>PROTOTIPO</t>
  </si>
  <si>
    <t>convenio</t>
  </si>
  <si>
    <t>VALOR UNITARIO</t>
  </si>
  <si>
    <t>TOTAL PRESTACION DE SERVICIOS</t>
  </si>
  <si>
    <t>ANALISTA DE RECAUDO</t>
  </si>
  <si>
    <t>% Participación por Canal</t>
  </si>
  <si>
    <t>Canal de Comercialización</t>
  </si>
  <si>
    <t xml:space="preserve">NOTA: SI EL FONDO GENERA INGRESOS POR CONCEPTOS DIFERENTES A LOS AQUÍ </t>
  </si>
  <si>
    <t>CUOTA DE ADMINISTRACIÓN</t>
  </si>
  <si>
    <t>INVERSIÓN:</t>
  </si>
  <si>
    <t>Campaña de promoción al consumo</t>
  </si>
  <si>
    <t>TOTAL INVERSIÓN Y FUNCIONAMIENTO</t>
  </si>
  <si>
    <t>CUOTA DE  ADMINISTRACIÓN</t>
  </si>
  <si>
    <t>DIRECCIÓN DE PLANEACIÓN Y SEGUIMIENTO PRESUPUESTAL</t>
  </si>
  <si>
    <t>PRESUPUESTO GASTOS DE FUNCIONAMIENTO E INVERSIÓN  FONDO NACIONAL FOMENTO PAPA</t>
  </si>
  <si>
    <t>RELACIONADOS DEBERÁ INCLUIRLOS</t>
  </si>
  <si>
    <t>TASA DE INTERÉS</t>
  </si>
  <si>
    <t>DÍAS AÑO</t>
  </si>
  <si>
    <t>DÍAS LABORADOS AÑO</t>
  </si>
  <si>
    <t>DÍAS MES</t>
  </si>
  <si>
    <t>PENSIÓN</t>
  </si>
  <si>
    <t>INTERESES A LAS CESANTÍAS</t>
  </si>
  <si>
    <t>PRESTACIÓN DE SERVICIOS VIGENCIA 2019</t>
  </si>
  <si>
    <t xml:space="preserve">Se requiere contar con la asesoría durante la transición e implementación de normas internacionales en fondos parafiscales. </t>
  </si>
  <si>
    <t>INVESTIGACIÓN Y TRANSFERENCIA DE TECNOLOGÍA</t>
  </si>
  <si>
    <t>24 Extensionistas X 45 días</t>
  </si>
  <si>
    <t>días</t>
  </si>
  <si>
    <t>Honorarios chef especialista en papa, con el fin de realizar shows gastronómicos y preparaciones en papa. Se requiere contar con este experto durante la feria de Agroexpo por 11 días.</t>
  </si>
  <si>
    <t>Pagos 2019</t>
  </si>
  <si>
    <t>DIAS LAB</t>
  </si>
  <si>
    <t>EXTENSIONISTAS 2</t>
  </si>
  <si>
    <t>EXTENSIONISTAS 3</t>
  </si>
  <si>
    <t>EXTENSIONISTAS 4</t>
  </si>
  <si>
    <t>EXTENSIONISTAS 5</t>
  </si>
  <si>
    <t>EXTENSIONISTAS 6</t>
  </si>
  <si>
    <t>EXTENSIONISTAS 7</t>
  </si>
  <si>
    <t>EXTENSIONISTAS 8</t>
  </si>
  <si>
    <t>EXTENSIONISTAS 9</t>
  </si>
  <si>
    <t>EXTENSIONISTAS 10</t>
  </si>
  <si>
    <t>EXTENSIONISTAS 11</t>
  </si>
  <si>
    <t>EXTENSIONISTAS 12</t>
  </si>
  <si>
    <t>Equipo de campo</t>
  </si>
  <si>
    <t xml:space="preserve">Análisis microbiológicos  </t>
  </si>
  <si>
    <t>Alquiler de dron para fumigacion</t>
  </si>
  <si>
    <t>Estudios</t>
  </si>
  <si>
    <t>Muebles y equipo de oficina</t>
  </si>
  <si>
    <t>DIRECTOR DE RECAUDO</t>
  </si>
  <si>
    <t>Alquiler de dron para imágenes multiespectrales</t>
  </si>
  <si>
    <t xml:space="preserve">Diagnostico de muestras </t>
  </si>
  <si>
    <t>ÁREA SEMBRADA</t>
  </si>
  <si>
    <t>RENDIMIENTO ESPERADO</t>
  </si>
  <si>
    <t>PRECIO TONELADA</t>
  </si>
  <si>
    <t>PRODUCCIÓN</t>
  </si>
  <si>
    <t>AUTOCONSUMO (11%)</t>
  </si>
  <si>
    <t>VALOR PRODUCCIÓN</t>
  </si>
  <si>
    <t>RECAUDO POTENCIAL</t>
  </si>
  <si>
    <t>PARTICIPACIÓN RECAUDO</t>
  </si>
  <si>
    <t>EVASIÓN</t>
  </si>
  <si>
    <t>VIGENCIA ACTUAL</t>
  </si>
  <si>
    <t>VIGENCIA ANTERIOR</t>
  </si>
  <si>
    <t>Estudio de consumo</t>
  </si>
  <si>
    <t>Reactivos</t>
  </si>
  <si>
    <t>DIRECTOR EMPRESARIZACION</t>
  </si>
  <si>
    <t>ASESORES</t>
  </si>
  <si>
    <t>Insumos agrícolas lotes de pruebas</t>
  </si>
  <si>
    <t xml:space="preserve">Pruebas de evaluación agronómica </t>
  </si>
  <si>
    <t xml:space="preserve">Limpieza de material vegetal y propagación de mini tubérculos </t>
  </si>
  <si>
    <t>Ingresos</t>
  </si>
  <si>
    <t>Adecuaciones invernaderos</t>
  </si>
  <si>
    <t>DIRECTOR TECNICO</t>
  </si>
  <si>
    <t>ASISTENTE DEL AREA TECNICA</t>
  </si>
  <si>
    <t>ASOCIATIVIDAD Y FORTALECIMIENTO EMPRESARIAL</t>
  </si>
  <si>
    <t>CAMAPAÑA DE CONSUMO</t>
  </si>
  <si>
    <t>SISTEMAS DE INFORMACION</t>
  </si>
  <si>
    <t>INVERSION</t>
  </si>
  <si>
    <t>Funcionamiento Administrativo</t>
  </si>
  <si>
    <t>Funcionamiento Recaudo</t>
  </si>
  <si>
    <t>2021</t>
  </si>
  <si>
    <t>AÑO 2021</t>
  </si>
  <si>
    <t>PRESUPUESTO DE INGRESOS VIGENCIA 2021</t>
  </si>
  <si>
    <t>FRUVER</t>
  </si>
  <si>
    <t>GRANDES SUPERFICIES</t>
  </si>
  <si>
    <t>HORECA</t>
  </si>
  <si>
    <t>INDUSTRIA</t>
  </si>
  <si>
    <t>SEMILLERISTA</t>
  </si>
  <si>
    <t>CENTRAL DE ABASTOS</t>
  </si>
  <si>
    <t>COMERCIALIZADOR</t>
  </si>
  <si>
    <t>VIGENCIA ANTERIOR 2021</t>
  </si>
  <si>
    <t>INVERSIÓN ESPERADA 2021</t>
  </si>
  <si>
    <t>ITEM</t>
  </si>
  <si>
    <t>DIVULGACION</t>
  </si>
  <si>
    <t>MEJORAMIENTO GENETICO</t>
  </si>
  <si>
    <t>PRESUPUESTO AÑO 2021</t>
  </si>
  <si>
    <t>Minituberculos</t>
  </si>
  <si>
    <t>Insumos agrícolas</t>
  </si>
  <si>
    <t>Suelo negro</t>
  </si>
  <si>
    <t>PROFESIONAL - GENETICO</t>
  </si>
  <si>
    <t>Análisis foliares</t>
  </si>
  <si>
    <t>Reactivos Biología Molecular</t>
  </si>
  <si>
    <t>Secuenciacion de RNA</t>
  </si>
  <si>
    <t>DIRECTOR DE ESTUDIOS ECONOMICOS</t>
  </si>
  <si>
    <t>PROFESIONAL ESTUDIOS ECONOMICOS</t>
  </si>
  <si>
    <t>EXTENSIONISTAS 13</t>
  </si>
  <si>
    <t>EXTENSIONISTAS 14</t>
  </si>
  <si>
    <t>EXTENSIONISTAS 15</t>
  </si>
  <si>
    <t>EXTENSIONISTAS 16</t>
  </si>
  <si>
    <t>EXTENSIONISTAS 17</t>
  </si>
  <si>
    <t>EXTENSIONISTAS 18</t>
  </si>
  <si>
    <t>EXTENSIONISTAS 19</t>
  </si>
  <si>
    <t>EXTENSIONISTAS 20</t>
  </si>
  <si>
    <t>EXTENSIONISTAS 21</t>
  </si>
  <si>
    <t>SALARIO MÍNIMO 2022</t>
  </si>
  <si>
    <t>PROFESIONAL DE CONTROL Y SEGUIMIENTO A RECAUDO</t>
  </si>
  <si>
    <t>PRESUPUESTADO AÑO 2022</t>
  </si>
  <si>
    <t>2022</t>
  </si>
  <si>
    <t>VIÁTICOS Y GASTOS DE VIAJE</t>
  </si>
  <si>
    <t>ZONA 9</t>
  </si>
  <si>
    <t>ZONA 10</t>
  </si>
  <si>
    <t>CANTIDAD 2021</t>
  </si>
  <si>
    <t>CANTIDAD 2022</t>
  </si>
  <si>
    <t>VARIACIÓN PORCENTUAL</t>
  </si>
  <si>
    <t>Proyectado 2021</t>
  </si>
  <si>
    <t>% Gestión 2022</t>
  </si>
  <si>
    <t>Meta 2022</t>
  </si>
  <si>
    <t>META 2022</t>
  </si>
  <si>
    <t>PROYECTADA 2021</t>
  </si>
  <si>
    <t>% Variación 2021 - 2022</t>
  </si>
  <si>
    <t>VIGENCIA ANTERIOR 2022</t>
  </si>
  <si>
    <t xml:space="preserve">Trampas Tecia solanivora (feromonas e implementos)  </t>
  </si>
  <si>
    <t>PROFESIONAL SISTEMAS DE INFORMACION</t>
  </si>
  <si>
    <t>VIGENCIA ACTUAL 2022</t>
  </si>
  <si>
    <t>INGRESOS CUOTA 2022</t>
  </si>
  <si>
    <t>INTERESES 2022</t>
  </si>
  <si>
    <t>TERCER SEMINARIO INTERNACIONAL DE LA PAPA 2022</t>
  </si>
  <si>
    <t>Tiquetes aéreos internacionales</t>
  </si>
  <si>
    <t>Se requieren dos tiquetes aéreos internacionales para 2 conferencistas.</t>
  </si>
  <si>
    <t>Tiquetes nacionales</t>
  </si>
  <si>
    <t>Se requieren 6 tiquetes aéreos nacionales para 6 conferencistas.</t>
  </si>
  <si>
    <t>Viáticos internacionales</t>
  </si>
  <si>
    <t>Se requieren viáticos para 2 personas durante 2 días por valor de $600.000</t>
  </si>
  <si>
    <t>Viáticos Nacionales</t>
  </si>
  <si>
    <t>Se requieren viáticos para 6 personas durante 2 días por valor de $600.000.</t>
  </si>
  <si>
    <t>Registro y certificaciones</t>
  </si>
  <si>
    <t>Se requiere material para realizar registro y entrega de certificaciones a asistentes al evento.</t>
  </si>
  <si>
    <t>Memorias y libretas</t>
  </si>
  <si>
    <t>Se requiere hacer entrega de las memorias del evento así como la necesidad de entregar material de apoyo a los asistentes</t>
  </si>
  <si>
    <t>Alimentación beneficiarios</t>
  </si>
  <si>
    <t>Se requiere alimentación para asistentes al evento 500 asistentes</t>
  </si>
  <si>
    <t>Divulgacion evento</t>
  </si>
  <si>
    <t>Se requiere realizar socializacion y divulgacion del evento con el fin de contar con la mayor cantidad de asistentes al tercer seminario internacional de papa. Cuñas radiales, redes sociales y funcionarios del FNFP</t>
  </si>
  <si>
    <t>Honorarios conferencistas internacionales</t>
  </si>
  <si>
    <t>Se requieren honorarios para 2 conferencistas internacionales por valor de $3.000.000 de pesos cada uno</t>
  </si>
  <si>
    <t>Logistica seminario</t>
  </si>
  <si>
    <t xml:space="preserve">Se requiere contar con la ligistica y demas equipo de sonido, video, pantallas </t>
  </si>
  <si>
    <t>Backing y stand institucional</t>
  </si>
  <si>
    <t>Se requiere el diseño y desarrollo de escenario (Backing) y stand institucional para la divulgacion de los proyectos.</t>
  </si>
  <si>
    <t>PRESUPUESTO VIGENCIA 2022</t>
  </si>
  <si>
    <t>INGRESOS FINANCIEROS</t>
  </si>
  <si>
    <t>INGRESOS INTERESES POR MORA</t>
  </si>
  <si>
    <t>SUPUESTOS DE INGRESOS</t>
  </si>
  <si>
    <t>ASESOR DE RECAUDO ZONA 9</t>
  </si>
  <si>
    <t>ASESOR DE RECAUDO ZONA 10</t>
  </si>
  <si>
    <t>SUPERVISOR ZONAL CUNDINAMARCA</t>
  </si>
  <si>
    <t>SUPERVISOR ZONAL BOYACÁ</t>
  </si>
  <si>
    <t>SUPERVISOR ZONAL NARIÑO</t>
  </si>
  <si>
    <t>SUPERVISOR MARKETING DIGITAL</t>
  </si>
  <si>
    <t>COORDINADOR DE NEGOCIOS</t>
  </si>
  <si>
    <t xml:space="preserve">PROFESIONAL APOYO TÉCNICO  </t>
  </si>
  <si>
    <t>PLAN DE DIVULGACION</t>
  </si>
  <si>
    <t xml:space="preserve">VALOR TOTAL </t>
  </si>
  <si>
    <t>CUADRO CONTROL DE APROPIACION  2022</t>
  </si>
  <si>
    <t>VARIACION 2022 VS 2021</t>
  </si>
  <si>
    <t>AÑO 2022</t>
  </si>
  <si>
    <t>2022 VS 2021</t>
  </si>
  <si>
    <t>DIRECTORES -COORDINADORES - PROFESIONALES</t>
  </si>
  <si>
    <t>EXTENSIONISTAS - SUPERVISORES</t>
  </si>
  <si>
    <t>PROFESIONALES-ANALISTAS-PASANTE</t>
  </si>
  <si>
    <t>F22</t>
  </si>
  <si>
    <t>F23</t>
  </si>
  <si>
    <t>F25</t>
  </si>
  <si>
    <t>F24</t>
  </si>
  <si>
    <t>F26</t>
  </si>
  <si>
    <t>COORDINADOR ADMINISTRATIVO Y PRESUPUESTAL</t>
  </si>
  <si>
    <t>% ARL</t>
  </si>
  <si>
    <t>IPC 5% Y MINIMO 5%</t>
  </si>
  <si>
    <t>SISTEMATIZADOR CUOTA FOMENTO</t>
  </si>
  <si>
    <t>GESTOR DE PROYECTOS</t>
  </si>
  <si>
    <t>INVESTIGACION Y TRANSFERENCIA DE TECNOLOGIA</t>
  </si>
  <si>
    <t>Estudio de abastecimiento y cadena logistica de papa en Colombia</t>
  </si>
  <si>
    <t>Estructura y competitividad de la Industria de insumos agropecuarios en Colombia y el mundo</t>
  </si>
  <si>
    <t>Estudio de oportunidades comerciales en mercados internacionales y nacionales para la papa colombiana</t>
  </si>
  <si>
    <t>PROFESIONAL GESTION DOCUMENTAL</t>
  </si>
  <si>
    <t>EXTENSIONISTA DE APOYO TECNICO</t>
  </si>
  <si>
    <t>Estudios económicos</t>
  </si>
  <si>
    <t>Investigación de consumo per cápita de papa en Colombia</t>
  </si>
  <si>
    <t>PRESUPUESTO AÑO 2022</t>
  </si>
  <si>
    <t>Presupuesto de gastos  Vigencia 2022</t>
  </si>
  <si>
    <t>Funcionamiento - administrativo</t>
  </si>
  <si>
    <t>Funcionamiento - recaudo</t>
  </si>
  <si>
    <t>Funcionamiento</t>
  </si>
  <si>
    <t>Contraprestacion</t>
  </si>
  <si>
    <t>Inversion</t>
  </si>
  <si>
    <t>Mejoramiento genetico</t>
  </si>
  <si>
    <t>Sistemas de informacion</t>
  </si>
  <si>
    <t>Campaña de promocion al consumo</t>
  </si>
  <si>
    <t>Promocion y divulgacion del FNFP</t>
  </si>
  <si>
    <t>Asociatividad y fortalecimiento empresarial</t>
  </si>
  <si>
    <t>VIGENCIA 2022</t>
  </si>
  <si>
    <t>VIGENCIA 2021</t>
  </si>
  <si>
    <t>VARIACION</t>
  </si>
  <si>
    <t>TOTAL FUNCIONAMIENTO E INVERSION</t>
  </si>
  <si>
    <t>PARTICIPACION</t>
  </si>
  <si>
    <t>Mecanismos de defensa</t>
  </si>
  <si>
    <t>SUPERVISOR DE DIVULGACION</t>
  </si>
  <si>
    <t>SALDO</t>
  </si>
  <si>
    <t>EJECUCION</t>
  </si>
  <si>
    <t>PRESUPUESTO SOLICITADO VS EJECUCION POR TRIMESTRE</t>
  </si>
  <si>
    <t>ACUERDO 26/2021</t>
  </si>
  <si>
    <t>ACUERDO 03</t>
  </si>
  <si>
    <t>ACUERDO 04</t>
  </si>
  <si>
    <t xml:space="preserve">TRASLADO </t>
  </si>
  <si>
    <t>ACUERDO 11</t>
  </si>
  <si>
    <t>ACUERDO 15</t>
  </si>
  <si>
    <t>ACUERDO 16</t>
  </si>
  <si>
    <t>ACUERDO 19</t>
  </si>
  <si>
    <t>TRASLADO INT</t>
  </si>
  <si>
    <t>AJUSTE</t>
  </si>
  <si>
    <t>APROP AÑO 2022</t>
  </si>
  <si>
    <t>LIQ SUPERAVIT</t>
  </si>
  <si>
    <t>ADICION</t>
  </si>
  <si>
    <t>02-2022</t>
  </si>
  <si>
    <t>DISMINUCION</t>
  </si>
  <si>
    <t>04-2022</t>
  </si>
  <si>
    <t>06-2022</t>
  </si>
  <si>
    <t>PRIMER TRIM</t>
  </si>
  <si>
    <t>SEGUNDO TRIM</t>
  </si>
  <si>
    <t>TERCER TRIM</t>
  </si>
  <si>
    <t>CUARTO TRIM</t>
  </si>
  <si>
    <t>mal reportado en el cierre def 3er trim</t>
  </si>
  <si>
    <t>ajuste a la vigencia</t>
  </si>
  <si>
    <t>1,109 NO REPORTADOR EN EL 2DO TRIM</t>
  </si>
  <si>
    <t>Estudios economicos</t>
  </si>
  <si>
    <t>DIF MANOR VLR IMPOCONSUMO NO REPORTADO</t>
  </si>
  <si>
    <t>DIF MANOR VLR IMPOCONSUMO VLR NO REPORTADO</t>
  </si>
  <si>
    <t>47 PESOS MENOS REPORTADOS EN EL 1ER TRIM22 CORRESPONDIENTE A IMPO CONSUMO</t>
  </si>
  <si>
    <t>143,954 NO REPORTADOS EN EL 2DO TRIM CORREPONDIENTE A IMPOCONSUMO</t>
  </si>
  <si>
    <t>08-2022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</si>
</sst>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\ * #,##0.00_);_(&quot;$&quot;\ * \(#,##0.00\);_(&quot;$&quot;\ * &quot;-&quot;??_);_(@_)"/>
    <numFmt numFmtId="173" formatCode="0.0%"/>
    <numFmt numFmtId="174" formatCode="0.000%"/>
    <numFmt numFmtId="175" formatCode="_ * #,##0.00_ ;_ * \-#,##0.00_ ;_ * &quot;-&quot;??_ ;_ @_ "/>
    <numFmt numFmtId="176" formatCode="_-&quot;$&quot;* #,##0_-;\-&quot;$&quot;* #,##0_-;_-&quot;$&quot;* &quot;-&quot;??_-;_-@_-"/>
    <numFmt numFmtId="177" formatCode="_ * #,##0_ ;_ * \-#,##0_ ;_ * &quot;-&quot;??_ ;_ @_ "/>
    <numFmt numFmtId="178" formatCode="[$$-240A]#,##0.00"/>
    <numFmt numFmtId="179" formatCode="[$$-240A]#,##0"/>
    <numFmt numFmtId="180" formatCode="_-* #,##0\ _€_-;\-* #,##0\ _€_-;_-* &quot;-&quot;??\ _€_-;_-@_-"/>
    <numFmt numFmtId="181" formatCode="0.0000%"/>
    <numFmt numFmtId="182" formatCode="_-* #,##0_-;\-* #,##0_-;_-* &quot;-&quot;??_-;_-@_-"/>
    <numFmt numFmtId="183" formatCode="_(* #,##0.00_);_(* \(#,##0.00\);_(* &quot;-&quot;??_);_(@_)"/>
    <numFmt numFmtId="184" formatCode="#,##0\ _€"/>
    <numFmt numFmtId="185" formatCode="[$$-240A]#,##0;\-[$$-240A]#,##0"/>
    <numFmt numFmtId="186" formatCode="_-* #,##0.00_-;\-* #,##0.00_-;_-* &quot;-&quot;_-;_-@_-"/>
    <numFmt numFmtId="187" formatCode="_(* #,##0_);_(* \(#,##0\);_(* &quot;-&quot;??_);_(@_)"/>
    <numFmt numFmtId="188" formatCode="_-* #,##0.0000_-;\-* #,##0.0000_-;_-* &quot;-&quot;??_-;_-@_-"/>
    <numFmt numFmtId="189" formatCode="_(&quot;$&quot;\ * #,##0_);_(&quot;$&quot;\ * \(#,##0\);_(&quot;$&quot;\ * &quot;-&quot;??_);_(@_)"/>
    <numFmt numFmtId="190" formatCode="_-* #,##0.000\ _€_-;\-* #,##0.000\ _€_-;_-* &quot;-&quot;??\ _€_-;_-@_-"/>
    <numFmt numFmtId="191" formatCode="_-* #,##0.000_-;\-* #,##0.000_-;_-* &quot;-&quot;_-;_-@_-"/>
    <numFmt numFmtId="192" formatCode="_-[$$-240A]\ * #,##0_-;\-[$$-240A]\ * #,##0_-;_-[$$-240A]\ * &quot;-&quot;??_-;_-@_-"/>
    <numFmt numFmtId="193" formatCode="_-* #,##0\ _€_-;\-* #,##0\ _€_-;_-* &quot;-&quot;\ _€_-;_-@_-"/>
    <numFmt numFmtId="194" formatCode="_-* #,##0.00\ _€_-;\-* #,##0.00\ _€_-;_-* &quot;-&quot;\ _€_-;_-@_-"/>
    <numFmt numFmtId="195" formatCode="_-* #,##0.0\ _€_-;\-* #,##0.0\ _€_-;_-* &quot;-&quot;??\ _€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-* #,##0.00000_-;\-* #,##0.00000_-;_-* &quot;-&quot;??_-;_-@_-"/>
    <numFmt numFmtId="201" formatCode="_-&quot;$&quot;* #,##0.0_-;\-&quot;$&quot;* #,##0.0_-;_-&quot;$&quot;* &quot;-&quot;??_-;_-@_-"/>
    <numFmt numFmtId="202" formatCode="_-* #,##0.0000\ _€_-;\-* #,##0.0000\ _€_-;_-* &quot;-&quot;??\ _€_-;_-@_-"/>
    <numFmt numFmtId="203" formatCode="_-* #,##0.00000\ _€_-;\-* #,##0.00000\ _€_-;_-* &quot;-&quot;??\ _€_-;_-@_-"/>
    <numFmt numFmtId="204" formatCode="_-* #,##0.000000\ _€_-;\-* #,##0.000000\ _€_-;_-* &quot;-&quot;??\ _€_-;_-@_-"/>
    <numFmt numFmtId="205" formatCode="_-* #,##0.0000000\ _€_-;\-* #,##0.0000000\ _€_-;_-* &quot;-&quot;??\ _€_-;_-@_-"/>
    <numFmt numFmtId="206" formatCode="_-* #,##0.00000000\ _€_-;\-* #,##0.00000000\ _€_-;_-* &quot;-&quot;??\ _€_-;_-@_-"/>
    <numFmt numFmtId="207" formatCode="_-* #,##0.000000000\ _€_-;\-* #,##0.000000000\ _€_-;_-* &quot;-&quot;??\ _€_-;_-@_-"/>
    <numFmt numFmtId="208" formatCode="_-* #,##0.0000000000\ _€_-;\-* #,##0.0000000000\ _€_-;_-* &quot;-&quot;??\ _€_-;_-@_-"/>
    <numFmt numFmtId="209" formatCode="_-* #,##0.00000000000\ _€_-;\-* #,##0.00000000000\ _€_-;_-* &quot;-&quot;??\ _€_-;_-@_-"/>
    <numFmt numFmtId="210" formatCode="_-* #,##0.000000000000\ _€_-;\-* #,##0.000000000000\ _€_-;_-* &quot;-&quot;??\ _€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MS Sans Serif"/>
      <family val="2"/>
    </font>
    <font>
      <sz val="8"/>
      <name val="Calibri"/>
      <family val="2"/>
    </font>
    <font>
      <u val="single"/>
      <sz val="12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3"/>
      <name val="Arial Narrow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17"/>
      <name val="Arial Narrow"/>
      <family val="2"/>
    </font>
    <font>
      <sz val="12"/>
      <color indexed="62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30"/>
      <name val="Arial Narrow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FFFF00"/>
      <name val="Arial Narrow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rgb="FF00B050"/>
      <name val="Arial Narrow"/>
      <family val="2"/>
    </font>
    <font>
      <sz val="12"/>
      <color theme="8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0070C0"/>
      <name val="Arial Narrow"/>
      <family val="2"/>
    </font>
    <font>
      <b/>
      <sz val="16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BC7D3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FBE9D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medium"/>
      <top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>
        <color theme="5" tint="-0.4999699890613556"/>
      </left>
      <right style="thin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hair"/>
      <right/>
      <top style="medium"/>
      <bottom style="hair"/>
    </border>
    <border>
      <left style="hair"/>
      <right/>
      <top style="hair"/>
      <bottom style="medium"/>
    </border>
    <border>
      <left style="hair"/>
      <right style="medium"/>
      <top style="hair"/>
      <bottom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/>
      <right style="medium"/>
      <top/>
      <bottom style="hair"/>
    </border>
    <border>
      <left/>
      <right style="medium"/>
      <top style="hair"/>
      <bottom/>
    </border>
    <border>
      <left style="medium"/>
      <right style="hair"/>
      <top style="medium"/>
      <bottom/>
    </border>
    <border>
      <left style="medium"/>
      <right style="hair"/>
      <top/>
      <bottom style="medium"/>
    </border>
  </borders>
  <cellStyleXfs count="5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56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0" fillId="0" borderId="8" applyNumberFormat="0" applyFill="0" applyAlignment="0" applyProtection="0"/>
    <xf numFmtId="0" fontId="63" fillId="0" borderId="9" applyNumberFormat="0" applyFill="0" applyAlignment="0" applyProtection="0"/>
  </cellStyleXfs>
  <cellXfs count="704">
    <xf numFmtId="0" fontId="0" fillId="0" borderId="0" xfId="0" applyFont="1" applyAlignment="1">
      <alignment/>
    </xf>
    <xf numFmtId="171" fontId="64" fillId="0" borderId="0" xfId="49" applyFont="1" applyAlignment="1">
      <alignment/>
    </xf>
    <xf numFmtId="180" fontId="64" fillId="0" borderId="0" xfId="49" applyNumberFormat="1" applyFont="1" applyAlignment="1">
      <alignment/>
    </xf>
    <xf numFmtId="180" fontId="5" fillId="0" borderId="0" xfId="49" applyNumberFormat="1" applyFont="1" applyAlignment="1">
      <alignment/>
    </xf>
    <xf numFmtId="0" fontId="5" fillId="0" borderId="0" xfId="539" applyFont="1">
      <alignment/>
      <protection/>
    </xf>
    <xf numFmtId="180" fontId="4" fillId="0" borderId="0" xfId="49" applyNumberFormat="1" applyFont="1" applyBorder="1" applyAlignment="1">
      <alignment horizontal="center"/>
    </xf>
    <xf numFmtId="180" fontId="4" fillId="0" borderId="10" xfId="49" applyNumberFormat="1" applyFont="1" applyFill="1" applyBorder="1" applyAlignment="1">
      <alignment horizontal="center" vertical="center"/>
    </xf>
    <xf numFmtId="180" fontId="4" fillId="0" borderId="11" xfId="49" applyNumberFormat="1" applyFont="1" applyFill="1" applyBorder="1" applyAlignment="1">
      <alignment horizontal="center" vertical="center"/>
    </xf>
    <xf numFmtId="10" fontId="4" fillId="0" borderId="12" xfId="551" applyNumberFormat="1" applyFont="1" applyFill="1" applyBorder="1" applyAlignment="1">
      <alignment horizontal="center" vertical="center"/>
    </xf>
    <xf numFmtId="180" fontId="4" fillId="0" borderId="13" xfId="49" applyNumberFormat="1" applyFont="1" applyFill="1" applyBorder="1" applyAlignment="1">
      <alignment horizontal="center" vertical="center" wrapText="1"/>
    </xf>
    <xf numFmtId="180" fontId="4" fillId="0" borderId="13" xfId="49" applyNumberFormat="1" applyFont="1" applyFill="1" applyBorder="1" applyAlignment="1">
      <alignment horizontal="center" vertical="center"/>
    </xf>
    <xf numFmtId="180" fontId="4" fillId="0" borderId="14" xfId="49" applyNumberFormat="1" applyFont="1" applyFill="1" applyBorder="1" applyAlignment="1">
      <alignment horizontal="center" vertical="center"/>
    </xf>
    <xf numFmtId="10" fontId="4" fillId="0" borderId="15" xfId="551" applyNumberFormat="1" applyFont="1" applyFill="1" applyBorder="1" applyAlignment="1">
      <alignment horizontal="center" vertical="center"/>
    </xf>
    <xf numFmtId="0" fontId="4" fillId="33" borderId="16" xfId="539" applyFont="1" applyFill="1" applyBorder="1">
      <alignment/>
      <protection/>
    </xf>
    <xf numFmtId="180" fontId="4" fillId="33" borderId="17" xfId="49" applyNumberFormat="1" applyFont="1" applyFill="1" applyBorder="1" applyAlignment="1">
      <alignment/>
    </xf>
    <xf numFmtId="180" fontId="4" fillId="33" borderId="18" xfId="49" applyNumberFormat="1" applyFont="1" applyFill="1" applyBorder="1" applyAlignment="1">
      <alignment/>
    </xf>
    <xf numFmtId="0" fontId="5" fillId="0" borderId="19" xfId="539" applyFont="1" applyBorder="1" applyAlignment="1">
      <alignment horizontal="left" indent="1"/>
      <protection/>
    </xf>
    <xf numFmtId="180" fontId="5" fillId="34" borderId="20" xfId="49" applyNumberFormat="1" applyFont="1" applyFill="1" applyBorder="1" applyAlignment="1">
      <alignment/>
    </xf>
    <xf numFmtId="180" fontId="5" fillId="0" borderId="21" xfId="49" applyNumberFormat="1" applyFont="1" applyBorder="1" applyAlignment="1">
      <alignment/>
    </xf>
    <xf numFmtId="180" fontId="5" fillId="0" borderId="20" xfId="49" applyNumberFormat="1" applyFont="1" applyBorder="1" applyAlignment="1">
      <alignment/>
    </xf>
    <xf numFmtId="0" fontId="4" fillId="33" borderId="19" xfId="539" applyFont="1" applyFill="1" applyBorder="1">
      <alignment/>
      <protection/>
    </xf>
    <xf numFmtId="180" fontId="4" fillId="33" borderId="20" xfId="49" applyNumberFormat="1" applyFont="1" applyFill="1" applyBorder="1" applyAlignment="1">
      <alignment/>
    </xf>
    <xf numFmtId="180" fontId="4" fillId="33" borderId="21" xfId="49" applyNumberFormat="1" applyFont="1" applyFill="1" applyBorder="1" applyAlignment="1">
      <alignment/>
    </xf>
    <xf numFmtId="0" fontId="4" fillId="33" borderId="19" xfId="539" applyFont="1" applyFill="1" applyBorder="1" applyAlignment="1">
      <alignment horizontal="centerContinuous"/>
      <protection/>
    </xf>
    <xf numFmtId="0" fontId="4" fillId="33" borderId="19" xfId="539" applyFont="1" applyFill="1" applyBorder="1" applyAlignment="1">
      <alignment horizontal="left"/>
      <protection/>
    </xf>
    <xf numFmtId="0" fontId="4" fillId="33" borderId="19" xfId="539" applyFont="1" applyFill="1" applyBorder="1" applyAlignment="1">
      <alignment horizontal="left" indent="1"/>
      <protection/>
    </xf>
    <xf numFmtId="0" fontId="5" fillId="0" borderId="19" xfId="539" applyFont="1" applyBorder="1" applyAlignment="1">
      <alignment horizontal="left" indent="2"/>
      <protection/>
    </xf>
    <xf numFmtId="3" fontId="5" fillId="0" borderId="19" xfId="539" applyNumberFormat="1" applyFont="1" applyBorder="1" applyAlignment="1">
      <alignment horizontal="left" vertical="justify" wrapText="1" indent="2"/>
      <protection/>
    </xf>
    <xf numFmtId="180" fontId="5" fillId="0" borderId="20" xfId="49" applyNumberFormat="1" applyFont="1" applyBorder="1" applyAlignment="1">
      <alignment/>
    </xf>
    <xf numFmtId="180" fontId="4" fillId="33" borderId="20" xfId="49" applyNumberFormat="1" applyFont="1" applyFill="1" applyBorder="1" applyAlignment="1">
      <alignment/>
    </xf>
    <xf numFmtId="0" fontId="5" fillId="0" borderId="22" xfId="539" applyFont="1" applyBorder="1" applyAlignment="1">
      <alignment horizontal="left" indent="2"/>
      <protection/>
    </xf>
    <xf numFmtId="180" fontId="5" fillId="34" borderId="23" xfId="49" applyNumberFormat="1" applyFont="1" applyFill="1" applyBorder="1" applyAlignment="1">
      <alignment/>
    </xf>
    <xf numFmtId="0" fontId="4" fillId="33" borderId="24" xfId="539" applyFont="1" applyFill="1" applyBorder="1" applyAlignment="1">
      <alignment horizontal="left" indent="1"/>
      <protection/>
    </xf>
    <xf numFmtId="180" fontId="4" fillId="33" borderId="25" xfId="49" applyNumberFormat="1" applyFont="1" applyFill="1" applyBorder="1" applyAlignment="1">
      <alignment/>
    </xf>
    <xf numFmtId="180" fontId="4" fillId="33" borderId="26" xfId="49" applyNumberFormat="1" applyFont="1" applyFill="1" applyBorder="1" applyAlignment="1">
      <alignment/>
    </xf>
    <xf numFmtId="0" fontId="5" fillId="0" borderId="16" xfId="539" applyFont="1" applyBorder="1" applyAlignment="1">
      <alignment horizontal="left" indent="2"/>
      <protection/>
    </xf>
    <xf numFmtId="180" fontId="5" fillId="0" borderId="17" xfId="49" applyNumberFormat="1" applyFont="1" applyBorder="1" applyAlignment="1">
      <alignment/>
    </xf>
    <xf numFmtId="180" fontId="5" fillId="0" borderId="18" xfId="49" applyNumberFormat="1" applyFont="1" applyBorder="1" applyAlignment="1">
      <alignment/>
    </xf>
    <xf numFmtId="180" fontId="4" fillId="33" borderId="21" xfId="49" applyNumberFormat="1" applyFont="1" applyFill="1" applyBorder="1" applyAlignment="1">
      <alignment/>
    </xf>
    <xf numFmtId="180" fontId="5" fillId="0" borderId="21" xfId="49" applyNumberFormat="1" applyFont="1" applyBorder="1" applyAlignment="1">
      <alignment/>
    </xf>
    <xf numFmtId="180" fontId="5" fillId="34" borderId="20" xfId="49" applyNumberFormat="1" applyFont="1" applyFill="1" applyBorder="1" applyAlignment="1">
      <alignment/>
    </xf>
    <xf numFmtId="0" fontId="4" fillId="33" borderId="19" xfId="539" applyFont="1" applyFill="1" applyBorder="1" applyAlignment="1">
      <alignment horizontal="left" indent="2"/>
      <protection/>
    </xf>
    <xf numFmtId="0" fontId="4" fillId="33" borderId="27" xfId="539" applyFont="1" applyFill="1" applyBorder="1">
      <alignment/>
      <protection/>
    </xf>
    <xf numFmtId="180" fontId="4" fillId="33" borderId="10" xfId="49" applyNumberFormat="1" applyFont="1" applyFill="1" applyBorder="1" applyAlignment="1">
      <alignment/>
    </xf>
    <xf numFmtId="180" fontId="4" fillId="33" borderId="11" xfId="49" applyNumberFormat="1" applyFont="1" applyFill="1" applyBorder="1" applyAlignment="1">
      <alignment/>
    </xf>
    <xf numFmtId="0" fontId="4" fillId="33" borderId="28" xfId="539" applyFont="1" applyFill="1" applyBorder="1">
      <alignment/>
      <protection/>
    </xf>
    <xf numFmtId="180" fontId="4" fillId="33" borderId="13" xfId="49" applyNumberFormat="1" applyFont="1" applyFill="1" applyBorder="1" applyAlignment="1">
      <alignment/>
    </xf>
    <xf numFmtId="180" fontId="4" fillId="33" borderId="14" xfId="49" applyNumberFormat="1" applyFont="1" applyFill="1" applyBorder="1" applyAlignment="1">
      <alignment/>
    </xf>
    <xf numFmtId="0" fontId="4" fillId="0" borderId="0" xfId="539" applyFont="1">
      <alignment/>
      <protection/>
    </xf>
    <xf numFmtId="180" fontId="5" fillId="0" borderId="21" xfId="49" applyNumberFormat="1" applyFont="1" applyFill="1" applyBorder="1" applyAlignment="1">
      <alignment/>
    </xf>
    <xf numFmtId="0" fontId="64" fillId="0" borderId="0" xfId="49" applyNumberFormat="1" applyFont="1" applyAlignment="1">
      <alignment/>
    </xf>
    <xf numFmtId="10" fontId="4" fillId="33" borderId="29" xfId="551" applyNumberFormat="1" applyFont="1" applyFill="1" applyBorder="1" applyAlignment="1">
      <alignment horizontal="center"/>
    </xf>
    <xf numFmtId="10" fontId="5" fillId="0" borderId="30" xfId="551" applyNumberFormat="1" applyFont="1" applyFill="1" applyBorder="1" applyAlignment="1">
      <alignment horizontal="center"/>
    </xf>
    <xf numFmtId="10" fontId="5" fillId="0" borderId="31" xfId="551" applyNumberFormat="1" applyFont="1" applyBorder="1" applyAlignment="1">
      <alignment horizontal="center"/>
    </xf>
    <xf numFmtId="10" fontId="4" fillId="33" borderId="31" xfId="551" applyNumberFormat="1" applyFont="1" applyFill="1" applyBorder="1" applyAlignment="1">
      <alignment horizontal="center"/>
    </xf>
    <xf numFmtId="10" fontId="5" fillId="0" borderId="29" xfId="551" applyNumberFormat="1" applyFont="1" applyBorder="1" applyAlignment="1">
      <alignment horizontal="center"/>
    </xf>
    <xf numFmtId="10" fontId="5" fillId="0" borderId="32" xfId="551" applyNumberFormat="1" applyFont="1" applyBorder="1" applyAlignment="1">
      <alignment horizontal="center"/>
    </xf>
    <xf numFmtId="10" fontId="4" fillId="33" borderId="33" xfId="551" applyNumberFormat="1" applyFont="1" applyFill="1" applyBorder="1" applyAlignment="1">
      <alignment horizontal="center"/>
    </xf>
    <xf numFmtId="10" fontId="5" fillId="0" borderId="34" xfId="551" applyNumberFormat="1" applyFont="1" applyBorder="1" applyAlignment="1">
      <alignment horizontal="center"/>
    </xf>
    <xf numFmtId="10" fontId="4" fillId="33" borderId="12" xfId="551" applyNumberFormat="1" applyFont="1" applyFill="1" applyBorder="1" applyAlignment="1">
      <alignment horizontal="center"/>
    </xf>
    <xf numFmtId="10" fontId="4" fillId="33" borderId="15" xfId="551" applyNumberFormat="1" applyFont="1" applyFill="1" applyBorder="1" applyAlignment="1">
      <alignment horizontal="center"/>
    </xf>
    <xf numFmtId="10" fontId="5" fillId="0" borderId="0" xfId="551" applyNumberFormat="1" applyFont="1" applyAlignment="1">
      <alignment horizontal="center"/>
    </xf>
    <xf numFmtId="0" fontId="64" fillId="0" borderId="0" xfId="0" applyFont="1" applyAlignment="1">
      <alignment/>
    </xf>
    <xf numFmtId="10" fontId="64" fillId="0" borderId="0" xfId="551" applyNumberFormat="1" applyFont="1" applyAlignment="1">
      <alignment/>
    </xf>
    <xf numFmtId="0" fontId="64" fillId="0" borderId="0" xfId="0" applyFont="1" applyAlignment="1">
      <alignment horizontal="justify" vertical="center" wrapText="1"/>
    </xf>
    <xf numFmtId="180" fontId="64" fillId="0" borderId="0" xfId="0" applyNumberFormat="1" applyFont="1" applyAlignment="1">
      <alignment horizontal="justify" vertical="center" wrapText="1"/>
    </xf>
    <xf numFmtId="3" fontId="64" fillId="0" borderId="0" xfId="0" applyNumberFormat="1" applyFont="1" applyAlignment="1">
      <alignment horizontal="justify" vertical="center" wrapText="1"/>
    </xf>
    <xf numFmtId="10" fontId="64" fillId="0" borderId="0" xfId="551" applyNumberFormat="1" applyFont="1" applyFill="1" applyBorder="1" applyAlignment="1">
      <alignment horizontal="justify" vertical="center" wrapText="1"/>
    </xf>
    <xf numFmtId="0" fontId="64" fillId="0" borderId="0" xfId="0" applyFont="1" applyAlignment="1">
      <alignment horizontal="center" vertical="center" wrapText="1"/>
    </xf>
    <xf numFmtId="179" fontId="64" fillId="0" borderId="35" xfId="459" applyNumberFormat="1" applyFont="1" applyFill="1" applyBorder="1" applyAlignment="1">
      <alignment horizontal="center" vertical="center" wrapText="1"/>
    </xf>
    <xf numFmtId="185" fontId="64" fillId="35" borderId="36" xfId="459" applyNumberFormat="1" applyFont="1" applyFill="1" applyBorder="1" applyAlignment="1">
      <alignment horizontal="justify" vertical="center" wrapText="1"/>
    </xf>
    <xf numFmtId="0" fontId="64" fillId="0" borderId="37" xfId="0" applyFont="1" applyBorder="1" applyAlignment="1">
      <alignment horizontal="center" vertical="center" wrapText="1"/>
    </xf>
    <xf numFmtId="176" fontId="64" fillId="0" borderId="0" xfId="0" applyNumberFormat="1" applyFont="1" applyAlignment="1">
      <alignment/>
    </xf>
    <xf numFmtId="176" fontId="64" fillId="0" borderId="38" xfId="450" applyNumberFormat="1" applyFont="1" applyFill="1" applyBorder="1" applyAlignment="1">
      <alignment horizontal="left" vertical="center" wrapText="1"/>
    </xf>
    <xf numFmtId="0" fontId="64" fillId="0" borderId="38" xfId="0" applyFont="1" applyBorder="1" applyAlignment="1">
      <alignment horizontal="center" vertical="center" wrapText="1"/>
    </xf>
    <xf numFmtId="0" fontId="65" fillId="36" borderId="39" xfId="0" applyFont="1" applyFill="1" applyBorder="1" applyAlignment="1">
      <alignment horizontal="center" vertical="center" wrapText="1"/>
    </xf>
    <xf numFmtId="176" fontId="65" fillId="36" borderId="40" xfId="450" applyNumberFormat="1" applyFont="1" applyFill="1" applyBorder="1" applyAlignment="1">
      <alignment horizontal="center" vertical="center" wrapText="1"/>
    </xf>
    <xf numFmtId="0" fontId="65" fillId="36" borderId="40" xfId="0" applyFont="1" applyFill="1" applyBorder="1" applyAlignment="1">
      <alignment horizontal="center" vertical="center" wrapText="1"/>
    </xf>
    <xf numFmtId="176" fontId="65" fillId="36" borderId="41" xfId="450" applyNumberFormat="1" applyFont="1" applyFill="1" applyBorder="1" applyAlignment="1">
      <alignment horizontal="center" vertical="center" wrapText="1"/>
    </xf>
    <xf numFmtId="176" fontId="3" fillId="0" borderId="0" xfId="458" applyNumberFormat="1" applyFont="1" applyFill="1" applyBorder="1" applyAlignment="1">
      <alignment horizontal="justify" vertical="center" wrapText="1"/>
    </xf>
    <xf numFmtId="0" fontId="3" fillId="0" borderId="0" xfId="551" applyNumberFormat="1" applyFont="1" applyFill="1" applyBorder="1" applyAlignment="1">
      <alignment horizontal="right" vertical="center" wrapText="1"/>
    </xf>
    <xf numFmtId="10" fontId="3" fillId="0" borderId="0" xfId="551" applyNumberFormat="1" applyFont="1" applyFill="1" applyBorder="1" applyAlignment="1">
      <alignment horizontal="right" vertical="center" wrapText="1"/>
    </xf>
    <xf numFmtId="0" fontId="66" fillId="0" borderId="42" xfId="0" applyFont="1" applyBorder="1" applyAlignment="1">
      <alignment vertical="center" wrapText="1"/>
    </xf>
    <xf numFmtId="176" fontId="64" fillId="0" borderId="42" xfId="450" applyNumberFormat="1" applyFont="1" applyFill="1" applyBorder="1" applyAlignment="1">
      <alignment horizontal="left" vertical="center" wrapText="1"/>
    </xf>
    <xf numFmtId="0" fontId="64" fillId="0" borderId="42" xfId="0" applyFont="1" applyBorder="1" applyAlignment="1">
      <alignment horizontal="center" vertical="center" wrapText="1"/>
    </xf>
    <xf numFmtId="176" fontId="64" fillId="0" borderId="42" xfId="450" applyNumberFormat="1" applyFont="1" applyFill="1" applyBorder="1" applyAlignment="1">
      <alignment horizontal="right" vertical="center" wrapText="1"/>
    </xf>
    <xf numFmtId="0" fontId="64" fillId="0" borderId="43" xfId="0" applyFont="1" applyBorder="1" applyAlignment="1">
      <alignment horizontal="justify" vertical="center" wrapText="1"/>
    </xf>
    <xf numFmtId="0" fontId="66" fillId="0" borderId="38" xfId="0" applyFont="1" applyBorder="1" applyAlignment="1">
      <alignment vertical="center" wrapText="1"/>
    </xf>
    <xf numFmtId="176" fontId="64" fillId="0" borderId="38" xfId="450" applyNumberFormat="1" applyFont="1" applyFill="1" applyBorder="1" applyAlignment="1">
      <alignment horizontal="right" vertical="center" wrapText="1"/>
    </xf>
    <xf numFmtId="0" fontId="64" fillId="0" borderId="44" xfId="0" applyFont="1" applyBorder="1" applyAlignment="1">
      <alignment horizontal="justify" vertical="center" wrapText="1"/>
    </xf>
    <xf numFmtId="0" fontId="64" fillId="35" borderId="35" xfId="0" applyFont="1" applyFill="1" applyBorder="1" applyAlignment="1">
      <alignment horizontal="left" vertical="center" wrapText="1"/>
    </xf>
    <xf numFmtId="3" fontId="64" fillId="0" borderId="35" xfId="458" applyNumberFormat="1" applyFont="1" applyFill="1" applyBorder="1" applyAlignment="1">
      <alignment horizontal="center" vertical="center" wrapText="1"/>
    </xf>
    <xf numFmtId="0" fontId="64" fillId="0" borderId="35" xfId="458" applyNumberFormat="1" applyFont="1" applyFill="1" applyBorder="1" applyAlignment="1">
      <alignment horizontal="center" vertical="center" wrapText="1"/>
    </xf>
    <xf numFmtId="0" fontId="66" fillId="35" borderId="38" xfId="0" applyFont="1" applyFill="1" applyBorder="1" applyAlignment="1">
      <alignment horizontal="left" vertical="center" wrapText="1"/>
    </xf>
    <xf numFmtId="184" fontId="64" fillId="35" borderId="38" xfId="458" applyNumberFormat="1" applyFont="1" applyFill="1" applyBorder="1" applyAlignment="1">
      <alignment horizontal="center" vertical="center" wrapText="1"/>
    </xf>
    <xf numFmtId="3" fontId="64" fillId="35" borderId="38" xfId="0" applyNumberFormat="1" applyFont="1" applyFill="1" applyBorder="1" applyAlignment="1">
      <alignment horizontal="center" vertical="center"/>
    </xf>
    <xf numFmtId="0" fontId="64" fillId="35" borderId="38" xfId="0" applyFont="1" applyFill="1" applyBorder="1" applyAlignment="1">
      <alignment horizontal="center" vertical="center" wrapText="1"/>
    </xf>
    <xf numFmtId="42" fontId="3" fillId="35" borderId="38" xfId="452" applyFont="1" applyFill="1" applyBorder="1" applyAlignment="1">
      <alignment horizontal="center" vertical="center" wrapText="1"/>
    </xf>
    <xf numFmtId="49" fontId="64" fillId="0" borderId="44" xfId="0" applyNumberFormat="1" applyFont="1" applyBorder="1" applyAlignment="1">
      <alignment horizontal="justify" vertical="center" wrapText="1"/>
    </xf>
    <xf numFmtId="0" fontId="67" fillId="0" borderId="37" xfId="0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5" fillId="36" borderId="45" xfId="0" applyFont="1" applyFill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176" fontId="3" fillId="0" borderId="35" xfId="450" applyNumberFormat="1" applyFont="1" applyFill="1" applyBorder="1" applyAlignment="1">
      <alignment horizontal="justify" vertical="center" wrapText="1"/>
    </xf>
    <xf numFmtId="0" fontId="66" fillId="35" borderId="46" xfId="0" applyFont="1" applyFill="1" applyBorder="1" applyAlignment="1">
      <alignment horizontal="left" vertical="center" wrapText="1"/>
    </xf>
    <xf numFmtId="184" fontId="64" fillId="35" borderId="46" xfId="458" applyNumberFormat="1" applyFont="1" applyFill="1" applyBorder="1" applyAlignment="1">
      <alignment horizontal="center" vertical="center" wrapText="1"/>
    </xf>
    <xf numFmtId="3" fontId="64" fillId="35" borderId="46" xfId="0" applyNumberFormat="1" applyFont="1" applyFill="1" applyBorder="1" applyAlignment="1">
      <alignment horizontal="center" vertical="center"/>
    </xf>
    <xf numFmtId="0" fontId="64" fillId="35" borderId="46" xfId="0" applyFont="1" applyFill="1" applyBorder="1" applyAlignment="1">
      <alignment horizontal="center" vertical="center" wrapText="1"/>
    </xf>
    <xf numFmtId="42" fontId="3" fillId="35" borderId="46" xfId="452" applyFont="1" applyFill="1" applyBorder="1" applyAlignment="1">
      <alignment horizontal="center" vertical="center" wrapText="1"/>
    </xf>
    <xf numFmtId="49" fontId="64" fillId="0" borderId="47" xfId="0" applyNumberFormat="1" applyFont="1" applyBorder="1" applyAlignment="1">
      <alignment horizontal="justify" vertical="center" wrapText="1"/>
    </xf>
    <xf numFmtId="0" fontId="64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176" fontId="64" fillId="0" borderId="35" xfId="450" applyNumberFormat="1" applyFont="1" applyFill="1" applyBorder="1" applyAlignment="1">
      <alignment horizontal="left" vertical="center" wrapText="1"/>
    </xf>
    <xf numFmtId="3" fontId="64" fillId="0" borderId="35" xfId="0" applyNumberFormat="1" applyFont="1" applyBorder="1" applyAlignment="1">
      <alignment horizontal="center" vertical="center" wrapText="1"/>
    </xf>
    <xf numFmtId="0" fontId="64" fillId="35" borderId="36" xfId="0" applyFont="1" applyFill="1" applyBorder="1" applyAlignment="1">
      <alignment horizontal="justify" vertical="top" wrapText="1"/>
    </xf>
    <xf numFmtId="0" fontId="64" fillId="0" borderId="46" xfId="0" applyFont="1" applyBorder="1" applyAlignment="1">
      <alignment horizontal="center" vertical="center" wrapText="1"/>
    </xf>
    <xf numFmtId="176" fontId="65" fillId="0" borderId="33" xfId="0" applyNumberFormat="1" applyFont="1" applyBorder="1" applyAlignment="1">
      <alignment/>
    </xf>
    <xf numFmtId="0" fontId="65" fillId="0" borderId="48" xfId="0" applyFont="1" applyBorder="1" applyAlignment="1">
      <alignment/>
    </xf>
    <xf numFmtId="186" fontId="5" fillId="0" borderId="0" xfId="50" applyNumberFormat="1" applyFont="1" applyAlignment="1">
      <alignment/>
    </xf>
    <xf numFmtId="171" fontId="5" fillId="0" borderId="0" xfId="49" applyFont="1" applyFill="1" applyAlignment="1">
      <alignment/>
    </xf>
    <xf numFmtId="180" fontId="5" fillId="0" borderId="0" xfId="49" applyNumberFormat="1" applyFont="1" applyFill="1" applyAlignment="1">
      <alignment/>
    </xf>
    <xf numFmtId="10" fontId="5" fillId="0" borderId="0" xfId="551" applyNumberFormat="1" applyFont="1" applyFill="1" applyAlignment="1">
      <alignment/>
    </xf>
    <xf numFmtId="177" fontId="5" fillId="0" borderId="0" xfId="539" applyNumberFormat="1" applyFont="1">
      <alignment/>
      <protection/>
    </xf>
    <xf numFmtId="180" fontId="5" fillId="0" borderId="0" xfId="539" applyNumberFormat="1" applyFont="1">
      <alignment/>
      <protection/>
    </xf>
    <xf numFmtId="179" fontId="5" fillId="0" borderId="0" xfId="539" applyNumberFormat="1" applyFont="1">
      <alignment/>
      <protection/>
    </xf>
    <xf numFmtId="169" fontId="5" fillId="0" borderId="0" xfId="539" applyNumberFormat="1" applyFont="1">
      <alignment/>
      <protection/>
    </xf>
    <xf numFmtId="180" fontId="5" fillId="0" borderId="20" xfId="49" applyNumberFormat="1" applyFont="1" applyFill="1" applyBorder="1" applyAlignment="1">
      <alignment/>
    </xf>
    <xf numFmtId="180" fontId="5" fillId="0" borderId="20" xfId="49" applyNumberFormat="1" applyFont="1" applyFill="1" applyBorder="1" applyAlignment="1">
      <alignment/>
    </xf>
    <xf numFmtId="180" fontId="5" fillId="0" borderId="21" xfId="49" applyNumberFormat="1" applyFont="1" applyFill="1" applyBorder="1" applyAlignment="1">
      <alignment/>
    </xf>
    <xf numFmtId="10" fontId="5" fillId="0" borderId="31" xfId="551" applyNumberFormat="1" applyFont="1" applyFill="1" applyBorder="1" applyAlignment="1">
      <alignment horizontal="center"/>
    </xf>
    <xf numFmtId="186" fontId="5" fillId="0" borderId="0" xfId="539" applyNumberFormat="1" applyFont="1">
      <alignment/>
      <protection/>
    </xf>
    <xf numFmtId="43" fontId="5" fillId="0" borderId="0" xfId="539" applyNumberFormat="1" applyFont="1">
      <alignment/>
      <protection/>
    </xf>
    <xf numFmtId="186" fontId="4" fillId="0" borderId="0" xfId="51" applyNumberFormat="1" applyFont="1" applyBorder="1" applyAlignment="1">
      <alignment horizontal="center"/>
    </xf>
    <xf numFmtId="186" fontId="4" fillId="0" borderId="10" xfId="51" applyNumberFormat="1" applyFont="1" applyFill="1" applyBorder="1" applyAlignment="1">
      <alignment horizontal="center" vertical="center"/>
    </xf>
    <xf numFmtId="186" fontId="4" fillId="0" borderId="13" xfId="51" applyNumberFormat="1" applyFont="1" applyFill="1" applyBorder="1" applyAlignment="1">
      <alignment horizontal="center" vertical="center" wrapText="1"/>
    </xf>
    <xf numFmtId="186" fontId="4" fillId="33" borderId="17" xfId="51" applyNumberFormat="1" applyFont="1" applyFill="1" applyBorder="1" applyAlignment="1">
      <alignment/>
    </xf>
    <xf numFmtId="186" fontId="5" fillId="0" borderId="20" xfId="51" applyNumberFormat="1" applyFont="1" applyFill="1" applyBorder="1" applyAlignment="1">
      <alignment/>
    </xf>
    <xf numFmtId="186" fontId="4" fillId="33" borderId="20" xfId="51" applyNumberFormat="1" applyFont="1" applyFill="1" applyBorder="1" applyAlignment="1">
      <alignment/>
    </xf>
    <xf numFmtId="186" fontId="5" fillId="34" borderId="20" xfId="51" applyNumberFormat="1" applyFont="1" applyFill="1" applyBorder="1" applyAlignment="1">
      <alignment/>
    </xf>
    <xf numFmtId="186" fontId="5" fillId="0" borderId="20" xfId="51" applyNumberFormat="1" applyFont="1" applyBorder="1" applyAlignment="1">
      <alignment/>
    </xf>
    <xf numFmtId="186" fontId="4" fillId="33" borderId="20" xfId="51" applyNumberFormat="1" applyFont="1" applyFill="1" applyBorder="1" applyAlignment="1">
      <alignment/>
    </xf>
    <xf numFmtId="3" fontId="5" fillId="0" borderId="19" xfId="539" applyNumberFormat="1" applyFont="1" applyBorder="1" applyAlignment="1">
      <alignment horizontal="left" indent="2"/>
      <protection/>
    </xf>
    <xf numFmtId="186" fontId="5" fillId="0" borderId="23" xfId="51" applyNumberFormat="1" applyFont="1" applyBorder="1" applyAlignment="1">
      <alignment/>
    </xf>
    <xf numFmtId="186" fontId="4" fillId="33" borderId="25" xfId="51" applyNumberFormat="1" applyFont="1" applyFill="1" applyBorder="1" applyAlignment="1">
      <alignment/>
    </xf>
    <xf numFmtId="186" fontId="5" fillId="0" borderId="17" xfId="51" applyNumberFormat="1" applyFont="1" applyBorder="1" applyAlignment="1">
      <alignment/>
    </xf>
    <xf numFmtId="186" fontId="5" fillId="0" borderId="20" xfId="51" applyNumberFormat="1" applyFont="1" applyFill="1" applyBorder="1" applyAlignment="1">
      <alignment/>
    </xf>
    <xf numFmtId="186" fontId="5" fillId="34" borderId="20" xfId="51" applyNumberFormat="1" applyFont="1" applyFill="1" applyBorder="1" applyAlignment="1">
      <alignment/>
    </xf>
    <xf numFmtId="186" fontId="4" fillId="33" borderId="10" xfId="51" applyNumberFormat="1" applyFont="1" applyFill="1" applyBorder="1" applyAlignment="1">
      <alignment/>
    </xf>
    <xf numFmtId="186" fontId="4" fillId="33" borderId="13" xfId="51" applyNumberFormat="1" applyFont="1" applyFill="1" applyBorder="1" applyAlignment="1">
      <alignment/>
    </xf>
    <xf numFmtId="186" fontId="5" fillId="0" borderId="0" xfId="51" applyNumberFormat="1" applyFont="1" applyAlignment="1">
      <alignment/>
    </xf>
    <xf numFmtId="180" fontId="5" fillId="0" borderId="0" xfId="551" applyNumberFormat="1" applyFont="1" applyAlignment="1">
      <alignment horizontal="center"/>
    </xf>
    <xf numFmtId="42" fontId="5" fillId="0" borderId="0" xfId="539" applyNumberFormat="1" applyFont="1">
      <alignment/>
      <protection/>
    </xf>
    <xf numFmtId="41" fontId="4" fillId="0" borderId="0" xfId="50" applyFont="1" applyBorder="1" applyAlignment="1">
      <alignment horizontal="center"/>
    </xf>
    <xf numFmtId="41" fontId="4" fillId="0" borderId="12" xfId="50" applyFont="1" applyFill="1" applyBorder="1" applyAlignment="1">
      <alignment horizontal="center" vertical="center"/>
    </xf>
    <xf numFmtId="41" fontId="4" fillId="0" borderId="15" xfId="50" applyFont="1" applyFill="1" applyBorder="1" applyAlignment="1">
      <alignment horizontal="center" vertical="center"/>
    </xf>
    <xf numFmtId="41" fontId="4" fillId="33" borderId="29" xfId="50" applyFont="1" applyFill="1" applyBorder="1" applyAlignment="1">
      <alignment/>
    </xf>
    <xf numFmtId="41" fontId="5" fillId="0" borderId="30" xfId="50" applyFont="1" applyFill="1" applyBorder="1" applyAlignment="1">
      <alignment/>
    </xf>
    <xf numFmtId="41" fontId="5" fillId="0" borderId="31" xfId="50" applyFont="1" applyFill="1" applyBorder="1" applyAlignment="1">
      <alignment/>
    </xf>
    <xf numFmtId="41" fontId="4" fillId="33" borderId="31" xfId="50" applyFont="1" applyFill="1" applyBorder="1" applyAlignment="1">
      <alignment/>
    </xf>
    <xf numFmtId="41" fontId="5" fillId="0" borderId="31" xfId="50" applyFont="1" applyBorder="1" applyAlignment="1">
      <alignment/>
    </xf>
    <xf numFmtId="41" fontId="5" fillId="0" borderId="29" xfId="50" applyFont="1" applyBorder="1" applyAlignment="1">
      <alignment/>
    </xf>
    <xf numFmtId="41" fontId="5" fillId="0" borderId="32" xfId="50" applyFont="1" applyBorder="1" applyAlignment="1">
      <alignment/>
    </xf>
    <xf numFmtId="41" fontId="4" fillId="33" borderId="31" xfId="50" applyFont="1" applyFill="1" applyBorder="1" applyAlignment="1">
      <alignment/>
    </xf>
    <xf numFmtId="41" fontId="5" fillId="0" borderId="32" xfId="50" applyFont="1" applyFill="1" applyBorder="1" applyAlignment="1">
      <alignment/>
    </xf>
    <xf numFmtId="41" fontId="4" fillId="33" borderId="33" xfId="50" applyFont="1" applyFill="1" applyBorder="1" applyAlignment="1">
      <alignment/>
    </xf>
    <xf numFmtId="41" fontId="5" fillId="0" borderId="17" xfId="50" applyFont="1" applyBorder="1" applyAlignment="1">
      <alignment/>
    </xf>
    <xf numFmtId="41" fontId="5" fillId="0" borderId="29" xfId="50" applyFont="1" applyBorder="1" applyAlignment="1">
      <alignment/>
    </xf>
    <xf numFmtId="41" fontId="5" fillId="0" borderId="31" xfId="50" applyFont="1" applyBorder="1" applyAlignment="1">
      <alignment/>
    </xf>
    <xf numFmtId="41" fontId="5" fillId="0" borderId="31" xfId="50" applyFont="1" applyFill="1" applyBorder="1" applyAlignment="1">
      <alignment/>
    </xf>
    <xf numFmtId="41" fontId="5" fillId="0" borderId="32" xfId="50" applyFont="1" applyBorder="1" applyAlignment="1">
      <alignment/>
    </xf>
    <xf numFmtId="41" fontId="5" fillId="0" borderId="29" xfId="50" applyFont="1" applyFill="1" applyBorder="1" applyAlignment="1">
      <alignment/>
    </xf>
    <xf numFmtId="41" fontId="4" fillId="33" borderId="12" xfId="50" applyFont="1" applyFill="1" applyBorder="1" applyAlignment="1">
      <alignment/>
    </xf>
    <xf numFmtId="41" fontId="4" fillId="33" borderId="21" xfId="50" applyFont="1" applyFill="1" applyBorder="1" applyAlignment="1">
      <alignment/>
    </xf>
    <xf numFmtId="41" fontId="4" fillId="33" borderId="15" xfId="50" applyFont="1" applyFill="1" applyBorder="1" applyAlignment="1">
      <alignment/>
    </xf>
    <xf numFmtId="41" fontId="5" fillId="0" borderId="0" xfId="50" applyFont="1" applyAlignment="1">
      <alignment/>
    </xf>
    <xf numFmtId="41" fontId="68" fillId="0" borderId="0" xfId="50" applyFont="1" applyAlignment="1">
      <alignment/>
    </xf>
    <xf numFmtId="179" fontId="69" fillId="0" borderId="0" xfId="0" applyNumberFormat="1" applyFont="1" applyAlignment="1">
      <alignment/>
    </xf>
    <xf numFmtId="10" fontId="4" fillId="0" borderId="49" xfId="551" applyNumberFormat="1" applyFont="1" applyBorder="1" applyAlignment="1">
      <alignment horizontal="center" vertical="center"/>
    </xf>
    <xf numFmtId="186" fontId="5" fillId="0" borderId="0" xfId="50" applyNumberFormat="1" applyFont="1" applyAlignment="1">
      <alignment vertical="center"/>
    </xf>
    <xf numFmtId="0" fontId="5" fillId="0" borderId="0" xfId="545" applyFont="1" applyAlignment="1">
      <alignment vertical="center"/>
      <protection/>
    </xf>
    <xf numFmtId="10" fontId="4" fillId="0" borderId="48" xfId="551" applyNumberFormat="1" applyFont="1" applyBorder="1" applyAlignment="1">
      <alignment horizontal="center" vertical="center"/>
    </xf>
    <xf numFmtId="180" fontId="4" fillId="0" borderId="50" xfId="49" applyNumberFormat="1" applyFont="1" applyBorder="1" applyAlignment="1">
      <alignment vertical="center"/>
    </xf>
    <xf numFmtId="10" fontId="4" fillId="0" borderId="51" xfId="551" applyNumberFormat="1" applyFont="1" applyBorder="1" applyAlignment="1">
      <alignment horizontal="center" vertical="center"/>
    </xf>
    <xf numFmtId="180" fontId="5" fillId="0" borderId="0" xfId="49" applyNumberFormat="1" applyFont="1" applyAlignment="1">
      <alignment vertical="center"/>
    </xf>
    <xf numFmtId="180" fontId="5" fillId="0" borderId="52" xfId="49" applyNumberFormat="1" applyFont="1" applyBorder="1" applyAlignment="1">
      <alignment vertical="center"/>
    </xf>
    <xf numFmtId="10" fontId="5" fillId="0" borderId="53" xfId="551" applyNumberFormat="1" applyFont="1" applyBorder="1" applyAlignment="1">
      <alignment horizontal="center" vertical="center"/>
    </xf>
    <xf numFmtId="41" fontId="5" fillId="0" borderId="0" xfId="545" applyNumberFormat="1" applyFont="1" applyAlignment="1">
      <alignment vertical="center"/>
      <protection/>
    </xf>
    <xf numFmtId="180" fontId="4" fillId="0" borderId="52" xfId="49" applyNumberFormat="1" applyFont="1" applyBorder="1" applyAlignment="1">
      <alignment vertical="center"/>
    </xf>
    <xf numFmtId="10" fontId="4" fillId="0" borderId="53" xfId="551" applyNumberFormat="1" applyFont="1" applyBorder="1" applyAlignment="1">
      <alignment horizontal="center" vertical="center"/>
    </xf>
    <xf numFmtId="176" fontId="5" fillId="0" borderId="0" xfId="545" applyNumberFormat="1" applyFont="1" applyAlignment="1">
      <alignment vertical="center"/>
      <protection/>
    </xf>
    <xf numFmtId="180" fontId="4" fillId="33" borderId="52" xfId="49" applyNumberFormat="1" applyFont="1" applyFill="1" applyBorder="1" applyAlignment="1">
      <alignment vertical="center"/>
    </xf>
    <xf numFmtId="10" fontId="4" fillId="33" borderId="53" xfId="551" applyNumberFormat="1" applyFont="1" applyFill="1" applyBorder="1" applyAlignment="1">
      <alignment horizontal="center" vertical="center"/>
    </xf>
    <xf numFmtId="180" fontId="5" fillId="0" borderId="54" xfId="49" applyNumberFormat="1" applyFont="1" applyBorder="1" applyAlignment="1">
      <alignment vertical="center"/>
    </xf>
    <xf numFmtId="10" fontId="5" fillId="0" borderId="55" xfId="551" applyNumberFormat="1" applyFont="1" applyBorder="1" applyAlignment="1">
      <alignment horizontal="center" vertical="center"/>
    </xf>
    <xf numFmtId="180" fontId="4" fillId="33" borderId="56" xfId="49" applyNumberFormat="1" applyFont="1" applyFill="1" applyBorder="1" applyAlignment="1">
      <alignment vertical="center"/>
    </xf>
    <xf numFmtId="10" fontId="4" fillId="33" borderId="57" xfId="551" applyNumberFormat="1" applyFont="1" applyFill="1" applyBorder="1" applyAlignment="1">
      <alignment horizontal="center" vertical="center"/>
    </xf>
    <xf numFmtId="180" fontId="4" fillId="33" borderId="58" xfId="49" applyNumberFormat="1" applyFont="1" applyFill="1" applyBorder="1" applyAlignment="1">
      <alignment vertical="center"/>
    </xf>
    <xf numFmtId="10" fontId="4" fillId="33" borderId="48" xfId="551" applyNumberFormat="1" applyFont="1" applyFill="1" applyBorder="1" applyAlignment="1">
      <alignment horizontal="center" vertical="center"/>
    </xf>
    <xf numFmtId="10" fontId="5" fillId="0" borderId="0" xfId="551" applyNumberFormat="1" applyFont="1" applyAlignment="1">
      <alignment horizontal="center" vertical="center"/>
    </xf>
    <xf numFmtId="171" fontId="5" fillId="0" borderId="0" xfId="49" applyFont="1" applyAlignment="1">
      <alignment horizontal="center" vertical="center"/>
    </xf>
    <xf numFmtId="0" fontId="5" fillId="0" borderId="0" xfId="545" applyFont="1">
      <alignment/>
      <protection/>
    </xf>
    <xf numFmtId="10" fontId="4" fillId="0" borderId="0" xfId="551" applyNumberFormat="1" applyFont="1" applyBorder="1" applyAlignment="1">
      <alignment horizontal="center"/>
    </xf>
    <xf numFmtId="41" fontId="5" fillId="0" borderId="0" xfId="545" applyNumberFormat="1" applyFont="1">
      <alignment/>
      <protection/>
    </xf>
    <xf numFmtId="0" fontId="4" fillId="0" borderId="59" xfId="543" applyFont="1" applyBorder="1" applyAlignment="1">
      <alignment horizontal="center" vertical="center" wrapText="1"/>
      <protection/>
    </xf>
    <xf numFmtId="0" fontId="4" fillId="0" borderId="39" xfId="543" applyFont="1" applyBorder="1" applyAlignment="1">
      <alignment horizontal="center" vertical="center" wrapText="1"/>
      <protection/>
    </xf>
    <xf numFmtId="0" fontId="4" fillId="0" borderId="41" xfId="543" applyFont="1" applyBorder="1" applyAlignment="1">
      <alignment horizontal="center" vertical="center" wrapText="1"/>
      <protection/>
    </xf>
    <xf numFmtId="10" fontId="4" fillId="0" borderId="60" xfId="551" applyNumberFormat="1" applyFont="1" applyBorder="1" applyAlignment="1">
      <alignment horizontal="center" vertical="center" wrapText="1"/>
    </xf>
    <xf numFmtId="0" fontId="4" fillId="33" borderId="61" xfId="0" applyFont="1" applyFill="1" applyBorder="1" applyAlignment="1">
      <alignment/>
    </xf>
    <xf numFmtId="177" fontId="4" fillId="33" borderId="62" xfId="140" applyNumberFormat="1" applyFont="1" applyFill="1" applyBorder="1" applyAlignment="1">
      <alignment/>
    </xf>
    <xf numFmtId="177" fontId="4" fillId="33" borderId="43" xfId="140" applyNumberFormat="1" applyFont="1" applyFill="1" applyBorder="1" applyAlignment="1">
      <alignment/>
    </xf>
    <xf numFmtId="0" fontId="5" fillId="0" borderId="52" xfId="0" applyFont="1" applyBorder="1" applyAlignment="1">
      <alignment horizontal="left" indent="1"/>
    </xf>
    <xf numFmtId="177" fontId="5" fillId="0" borderId="63" xfId="140" applyNumberFormat="1" applyFont="1" applyBorder="1" applyAlignment="1">
      <alignment/>
    </xf>
    <xf numFmtId="177" fontId="5" fillId="0" borderId="64" xfId="140" applyNumberFormat="1" applyFont="1" applyBorder="1" applyAlignment="1">
      <alignment/>
    </xf>
    <xf numFmtId="0" fontId="4" fillId="33" borderId="52" xfId="0" applyFont="1" applyFill="1" applyBorder="1" applyAlignment="1">
      <alignment/>
    </xf>
    <xf numFmtId="177" fontId="4" fillId="33" borderId="63" xfId="140" applyNumberFormat="1" applyFont="1" applyFill="1" applyBorder="1" applyAlignment="1">
      <alignment/>
    </xf>
    <xf numFmtId="177" fontId="4" fillId="33" borderId="64" xfId="140" applyNumberFormat="1" applyFont="1" applyFill="1" applyBorder="1" applyAlignment="1">
      <alignment/>
    </xf>
    <xf numFmtId="0" fontId="4" fillId="0" borderId="56" xfId="543" applyFont="1" applyBorder="1">
      <alignment/>
      <protection/>
    </xf>
    <xf numFmtId="177" fontId="4" fillId="0" borderId="65" xfId="543" applyNumberFormat="1" applyFont="1" applyBorder="1">
      <alignment/>
      <protection/>
    </xf>
    <xf numFmtId="0" fontId="5" fillId="0" borderId="0" xfId="543" applyFont="1">
      <alignment/>
      <protection/>
    </xf>
    <xf numFmtId="177" fontId="5" fillId="0" borderId="0" xfId="543" applyNumberFormat="1" applyFont="1">
      <alignment/>
      <protection/>
    </xf>
    <xf numFmtId="10" fontId="5" fillId="0" borderId="0" xfId="551" applyNumberFormat="1" applyFont="1" applyAlignment="1">
      <alignment/>
    </xf>
    <xf numFmtId="0" fontId="4" fillId="0" borderId="0" xfId="543" applyFont="1">
      <alignment/>
      <protection/>
    </xf>
    <xf numFmtId="10" fontId="5" fillId="0" borderId="0" xfId="551" applyNumberFormat="1" applyFont="1" applyBorder="1" applyAlignment="1">
      <alignment/>
    </xf>
    <xf numFmtId="177" fontId="4" fillId="0" borderId="0" xfId="543" applyNumberFormat="1" applyFont="1">
      <alignment/>
      <protection/>
    </xf>
    <xf numFmtId="0" fontId="70" fillId="0" borderId="0" xfId="543" applyFont="1">
      <alignment/>
      <protection/>
    </xf>
    <xf numFmtId="0" fontId="5" fillId="0" borderId="0" xfId="540" applyFont="1">
      <alignment/>
      <protection/>
    </xf>
    <xf numFmtId="0" fontId="71" fillId="0" borderId="0" xfId="540" applyFont="1">
      <alignment/>
      <protection/>
    </xf>
    <xf numFmtId="0" fontId="72" fillId="37" borderId="66" xfId="540" applyFont="1" applyFill="1" applyBorder="1" applyAlignment="1">
      <alignment horizontal="center" vertical="center"/>
      <protection/>
    </xf>
    <xf numFmtId="0" fontId="5" fillId="0" borderId="66" xfId="540" applyFont="1" applyBorder="1">
      <alignment/>
      <protection/>
    </xf>
    <xf numFmtId="173" fontId="5" fillId="0" borderId="66" xfId="551" applyNumberFormat="1" applyFont="1" applyBorder="1" applyAlignment="1">
      <alignment horizontal="center"/>
    </xf>
    <xf numFmtId="0" fontId="5" fillId="0" borderId="66" xfId="540" applyFont="1" applyBorder="1" applyAlignment="1">
      <alignment horizontal="center"/>
      <protection/>
    </xf>
    <xf numFmtId="188" fontId="68" fillId="0" borderId="0" xfId="161" applyNumberFormat="1" applyFont="1" applyAlignment="1">
      <alignment/>
    </xf>
    <xf numFmtId="187" fontId="68" fillId="0" borderId="0" xfId="141" applyNumberFormat="1" applyFont="1" applyAlignment="1">
      <alignment/>
    </xf>
    <xf numFmtId="165" fontId="5" fillId="0" borderId="0" xfId="540" applyNumberFormat="1" applyFont="1">
      <alignment/>
      <protection/>
    </xf>
    <xf numFmtId="3" fontId="5" fillId="0" borderId="0" xfId="540" applyNumberFormat="1" applyFont="1">
      <alignment/>
      <protection/>
    </xf>
    <xf numFmtId="10" fontId="68" fillId="0" borderId="0" xfId="554" applyNumberFormat="1" applyFont="1" applyAlignment="1">
      <alignment/>
    </xf>
    <xf numFmtId="43" fontId="5" fillId="0" borderId="0" xfId="161" applyFont="1" applyAlignment="1">
      <alignment/>
    </xf>
    <xf numFmtId="43" fontId="5" fillId="0" borderId="0" xfId="540" applyNumberFormat="1" applyFo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2" fontId="5" fillId="0" borderId="0" xfId="161" applyNumberFormat="1" applyFont="1" applyAlignment="1">
      <alignment vertical="center"/>
    </xf>
    <xf numFmtId="0" fontId="71" fillId="0" borderId="0" xfId="0" applyFont="1" applyAlignment="1">
      <alignment/>
    </xf>
    <xf numFmtId="0" fontId="72" fillId="37" borderId="66" xfId="0" applyFont="1" applyFill="1" applyBorder="1" applyAlignment="1">
      <alignment horizontal="center" vertical="center" wrapText="1" readingOrder="1"/>
    </xf>
    <xf numFmtId="182" fontId="5" fillId="0" borderId="0" xfId="161" applyNumberFormat="1" applyFont="1" applyFill="1" applyAlignment="1">
      <alignment vertical="center"/>
    </xf>
    <xf numFmtId="182" fontId="71" fillId="0" borderId="0" xfId="161" applyNumberFormat="1" applyFont="1" applyFill="1" applyAlignment="1">
      <alignment vertical="center"/>
    </xf>
    <xf numFmtId="165" fontId="5" fillId="0" borderId="66" xfId="0" applyNumberFormat="1" applyFont="1" applyBorder="1" applyAlignment="1">
      <alignment vertical="center" wrapText="1" readingOrder="1"/>
    </xf>
    <xf numFmtId="173" fontId="5" fillId="0" borderId="66" xfId="551" applyNumberFormat="1" applyFont="1" applyBorder="1" applyAlignment="1">
      <alignment horizontal="center" vertical="center" wrapText="1" readingOrder="1"/>
    </xf>
    <xf numFmtId="9" fontId="72" fillId="37" borderId="66" xfId="0" applyNumberFormat="1" applyFont="1" applyFill="1" applyBorder="1" applyAlignment="1">
      <alignment horizontal="center" vertical="center" wrapText="1" readingOrder="1"/>
    </xf>
    <xf numFmtId="165" fontId="72" fillId="37" borderId="66" xfId="0" applyNumberFormat="1" applyFont="1" applyFill="1" applyBorder="1" applyAlignment="1">
      <alignment horizontal="right" vertical="center" wrapText="1" readingOrder="1"/>
    </xf>
    <xf numFmtId="173" fontId="72" fillId="37" borderId="66" xfId="0" applyNumberFormat="1" applyFont="1" applyFill="1" applyBorder="1" applyAlignment="1">
      <alignment horizontal="center" vertical="center" wrapText="1" readingOrder="1"/>
    </xf>
    <xf numFmtId="9" fontId="5" fillId="0" borderId="66" xfId="551" applyFont="1" applyBorder="1" applyAlignment="1">
      <alignment horizontal="center" vertical="center" wrapText="1" readingOrder="1"/>
    </xf>
    <xf numFmtId="182" fontId="71" fillId="0" borderId="0" xfId="0" applyNumberFormat="1" applyFont="1" applyAlignment="1">
      <alignment/>
    </xf>
    <xf numFmtId="182" fontId="73" fillId="0" borderId="0" xfId="161" applyNumberFormat="1" applyFont="1" applyAlignment="1">
      <alignment vertical="center"/>
    </xf>
    <xf numFmtId="182" fontId="5" fillId="0" borderId="0" xfId="161" applyNumberFormat="1" applyFont="1" applyAlignment="1">
      <alignment/>
    </xf>
    <xf numFmtId="165" fontId="5" fillId="0" borderId="0" xfId="0" applyNumberFormat="1" applyFont="1" applyAlignment="1">
      <alignment/>
    </xf>
    <xf numFmtId="165" fontId="74" fillId="0" borderId="0" xfId="0" applyNumberFormat="1" applyFont="1" applyAlignment="1">
      <alignment/>
    </xf>
    <xf numFmtId="0" fontId="74" fillId="0" borderId="0" xfId="0" applyFont="1" applyAlignment="1">
      <alignment/>
    </xf>
    <xf numFmtId="182" fontId="74" fillId="0" borderId="0" xfId="161" applyNumberFormat="1" applyFont="1" applyAlignment="1">
      <alignment/>
    </xf>
    <xf numFmtId="41" fontId="5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5" fillId="0" borderId="0" xfId="551" applyNumberFormat="1" applyFont="1" applyAlignment="1">
      <alignment/>
    </xf>
    <xf numFmtId="173" fontId="72" fillId="37" borderId="66" xfId="551" applyNumberFormat="1" applyFont="1" applyFill="1" applyBorder="1" applyAlignment="1">
      <alignment horizontal="center" vertical="center" wrapText="1" readingOrder="1"/>
    </xf>
    <xf numFmtId="182" fontId="74" fillId="0" borderId="0" xfId="0" applyNumberFormat="1" applyFont="1" applyAlignment="1">
      <alignment/>
    </xf>
    <xf numFmtId="182" fontId="71" fillId="0" borderId="0" xfId="161" applyNumberFormat="1" applyFont="1" applyAlignment="1">
      <alignment vertical="center"/>
    </xf>
    <xf numFmtId="44" fontId="5" fillId="0" borderId="0" xfId="537" applyFont="1" applyAlignment="1">
      <alignment/>
    </xf>
    <xf numFmtId="9" fontId="5" fillId="0" borderId="0" xfId="551" applyFont="1" applyAlignment="1">
      <alignment/>
    </xf>
    <xf numFmtId="44" fontId="74" fillId="0" borderId="0" xfId="0" applyNumberFormat="1" applyFont="1" applyAlignment="1">
      <alignment/>
    </xf>
    <xf numFmtId="182" fontId="5" fillId="0" borderId="0" xfId="161" applyNumberFormat="1" applyFont="1" applyBorder="1" applyAlignment="1">
      <alignment vertical="center"/>
    </xf>
    <xf numFmtId="9" fontId="5" fillId="0" borderId="0" xfId="551" applyFont="1" applyBorder="1" applyAlignment="1">
      <alignment vertical="center"/>
    </xf>
    <xf numFmtId="41" fontId="69" fillId="0" borderId="0" xfId="51" applyFont="1" applyAlignment="1">
      <alignment/>
    </xf>
    <xf numFmtId="41" fontId="68" fillId="0" borderId="0" xfId="51" applyFont="1" applyAlignment="1">
      <alignment/>
    </xf>
    <xf numFmtId="0" fontId="5" fillId="0" borderId="0" xfId="539" applyFont="1" applyAlignment="1">
      <alignment horizontal="center" vertical="center" wrapText="1"/>
      <protection/>
    </xf>
    <xf numFmtId="2" fontId="5" fillId="0" borderId="67" xfId="140" applyNumberFormat="1" applyFont="1" applyFill="1" applyBorder="1" applyAlignment="1">
      <alignment horizontal="center" vertical="center" wrapText="1"/>
    </xf>
    <xf numFmtId="176" fontId="5" fillId="0" borderId="67" xfId="457" applyNumberFormat="1" applyFont="1" applyFill="1" applyBorder="1" applyAlignment="1">
      <alignment/>
    </xf>
    <xf numFmtId="181" fontId="5" fillId="0" borderId="67" xfId="551" applyNumberFormat="1" applyFont="1" applyFill="1" applyBorder="1" applyAlignment="1">
      <alignment/>
    </xf>
    <xf numFmtId="176" fontId="5" fillId="0" borderId="67" xfId="539" applyNumberFormat="1" applyFont="1" applyBorder="1">
      <alignment/>
      <protection/>
    </xf>
    <xf numFmtId="176" fontId="5" fillId="0" borderId="0" xfId="539" applyNumberFormat="1" applyFont="1">
      <alignment/>
      <protection/>
    </xf>
    <xf numFmtId="176" fontId="5" fillId="0" borderId="67" xfId="450" applyNumberFormat="1" applyFont="1" applyFill="1" applyBorder="1" applyAlignment="1">
      <alignment/>
    </xf>
    <xf numFmtId="171" fontId="5" fillId="0" borderId="0" xfId="49" applyFont="1" applyBorder="1" applyAlignment="1">
      <alignment/>
    </xf>
    <xf numFmtId="0" fontId="5" fillId="35" borderId="0" xfId="539" applyFont="1" applyFill="1">
      <alignment/>
      <protection/>
    </xf>
    <xf numFmtId="176" fontId="5" fillId="0" borderId="0" xfId="457" applyNumberFormat="1" applyFont="1" applyBorder="1" applyAlignment="1">
      <alignment/>
    </xf>
    <xf numFmtId="0" fontId="5" fillId="0" borderId="67" xfId="539" applyFont="1" applyBorder="1">
      <alignment/>
      <protection/>
    </xf>
    <xf numFmtId="173" fontId="5" fillId="0" borderId="67" xfId="551" applyNumberFormat="1" applyFont="1" applyBorder="1" applyAlignment="1">
      <alignment/>
    </xf>
    <xf numFmtId="181" fontId="5" fillId="0" borderId="67" xfId="551" applyNumberFormat="1" applyFont="1" applyBorder="1" applyAlignment="1">
      <alignment/>
    </xf>
    <xf numFmtId="0" fontId="8" fillId="0" borderId="0" xfId="46" applyFont="1" applyAlignment="1">
      <alignment/>
    </xf>
    <xf numFmtId="176" fontId="5" fillId="0" borderId="0" xfId="457" applyNumberFormat="1" applyFont="1" applyAlignment="1">
      <alignment/>
    </xf>
    <xf numFmtId="2" fontId="5" fillId="0" borderId="67" xfId="140" applyNumberFormat="1" applyFont="1" applyFill="1" applyBorder="1" applyAlignment="1">
      <alignment horizontal="left" vertical="center" wrapText="1"/>
    </xf>
    <xf numFmtId="0" fontId="5" fillId="0" borderId="0" xfId="539" applyFont="1" applyAlignment="1">
      <alignment vertical="center"/>
      <protection/>
    </xf>
    <xf numFmtId="171" fontId="5" fillId="0" borderId="0" xfId="49" applyFont="1" applyAlignment="1">
      <alignment/>
    </xf>
    <xf numFmtId="0" fontId="68" fillId="0" borderId="0" xfId="0" applyFont="1" applyAlignment="1">
      <alignment/>
    </xf>
    <xf numFmtId="180" fontId="68" fillId="0" borderId="0" xfId="49" applyNumberFormat="1" applyFont="1" applyAlignment="1">
      <alignment/>
    </xf>
    <xf numFmtId="0" fontId="68" fillId="0" borderId="49" xfId="0" applyFont="1" applyBorder="1" applyAlignment="1">
      <alignment/>
    </xf>
    <xf numFmtId="0" fontId="68" fillId="0" borderId="60" xfId="0" applyFont="1" applyBorder="1" applyAlignment="1">
      <alignment/>
    </xf>
    <xf numFmtId="10" fontId="68" fillId="0" borderId="60" xfId="0" applyNumberFormat="1" applyFont="1" applyBorder="1" applyAlignment="1">
      <alignment/>
    </xf>
    <xf numFmtId="180" fontId="5" fillId="0" borderId="0" xfId="49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Alignment="1">
      <alignment horizontal="center" vertical="center" wrapText="1"/>
    </xf>
    <xf numFmtId="0" fontId="68" fillId="0" borderId="34" xfId="0" applyFont="1" applyBorder="1" applyAlignment="1">
      <alignment/>
    </xf>
    <xf numFmtId="0" fontId="68" fillId="0" borderId="68" xfId="0" applyFont="1" applyBorder="1" applyAlignment="1">
      <alignment/>
    </xf>
    <xf numFmtId="173" fontId="68" fillId="0" borderId="68" xfId="0" applyNumberFormat="1" applyFont="1" applyBorder="1" applyAlignment="1">
      <alignment/>
    </xf>
    <xf numFmtId="41" fontId="68" fillId="0" borderId="68" xfId="50" applyFont="1" applyFill="1" applyBorder="1" applyAlignment="1" applyProtection="1">
      <alignment horizontal="right" vertical="center" wrapText="1"/>
      <protection/>
    </xf>
    <xf numFmtId="0" fontId="68" fillId="0" borderId="69" xfId="0" applyFont="1" applyBorder="1" applyAlignment="1">
      <alignment/>
    </xf>
    <xf numFmtId="0" fontId="68" fillId="0" borderId="57" xfId="0" applyFont="1" applyBorder="1" applyAlignment="1">
      <alignment/>
    </xf>
    <xf numFmtId="41" fontId="68" fillId="0" borderId="57" xfId="50" applyFont="1" applyFill="1" applyBorder="1" applyAlignment="1" applyProtection="1">
      <alignment horizontal="right" vertical="center" wrapText="1"/>
      <protection/>
    </xf>
    <xf numFmtId="3" fontId="68" fillId="0" borderId="49" xfId="25" applyNumberFormat="1" applyFont="1" applyFill="1" applyBorder="1" applyAlignment="1" applyProtection="1">
      <alignment horizontal="left" vertical="center" wrapText="1"/>
      <protection/>
    </xf>
    <xf numFmtId="3" fontId="68" fillId="0" borderId="70" xfId="25" applyNumberFormat="1" applyFont="1" applyFill="1" applyBorder="1" applyAlignment="1" applyProtection="1">
      <alignment horizontal="center" vertical="center" wrapText="1"/>
      <protection/>
    </xf>
    <xf numFmtId="173" fontId="68" fillId="0" borderId="60" xfId="25" applyNumberFormat="1" applyFont="1" applyFill="1" applyBorder="1" applyAlignment="1" applyProtection="1">
      <alignment horizontal="right" vertical="center" wrapText="1"/>
      <protection/>
    </xf>
    <xf numFmtId="9" fontId="68" fillId="0" borderId="0" xfId="0" applyNumberFormat="1" applyFont="1" applyAlignment="1">
      <alignment/>
    </xf>
    <xf numFmtId="173" fontId="68" fillId="0" borderId="0" xfId="0" applyNumberFormat="1" applyFont="1" applyAlignment="1">
      <alignment/>
    </xf>
    <xf numFmtId="3" fontId="68" fillId="0" borderId="34" xfId="25" applyNumberFormat="1" applyFont="1" applyFill="1" applyBorder="1" applyAlignment="1" applyProtection="1">
      <alignment horizontal="left" vertical="center" wrapText="1"/>
      <protection/>
    </xf>
    <xf numFmtId="3" fontId="68" fillId="0" borderId="0" xfId="25" applyNumberFormat="1" applyFont="1" applyFill="1" applyBorder="1" applyAlignment="1" applyProtection="1">
      <alignment horizontal="center" vertical="center" wrapText="1"/>
      <protection/>
    </xf>
    <xf numFmtId="173" fontId="68" fillId="0" borderId="68" xfId="25" applyNumberFormat="1" applyFont="1" applyFill="1" applyBorder="1" applyAlignment="1" applyProtection="1">
      <alignment horizontal="right" vertical="center" wrapText="1"/>
      <protection/>
    </xf>
    <xf numFmtId="3" fontId="69" fillId="0" borderId="49" xfId="24" applyNumberFormat="1" applyFont="1" applyFill="1" applyBorder="1" applyAlignment="1" applyProtection="1">
      <alignment horizontal="left" vertical="center" wrapText="1"/>
      <protection/>
    </xf>
    <xf numFmtId="3" fontId="69" fillId="0" borderId="60" xfId="24" applyNumberFormat="1" applyFont="1" applyFill="1" applyBorder="1" applyAlignment="1" applyProtection="1">
      <alignment horizontal="left" vertical="center" wrapText="1"/>
      <protection/>
    </xf>
    <xf numFmtId="173" fontId="68" fillId="0" borderId="60" xfId="24" applyNumberFormat="1" applyFont="1" applyFill="1" applyBorder="1" applyAlignment="1" applyProtection="1">
      <alignment horizontal="right" vertical="center" wrapText="1"/>
      <protection/>
    </xf>
    <xf numFmtId="3" fontId="68" fillId="0" borderId="34" xfId="24" applyNumberFormat="1" applyFont="1" applyFill="1" applyBorder="1" applyAlignment="1" applyProtection="1">
      <alignment horizontal="left" vertical="center" wrapText="1"/>
      <protection/>
    </xf>
    <xf numFmtId="3" fontId="68" fillId="0" borderId="68" xfId="24" applyNumberFormat="1" applyFont="1" applyFill="1" applyBorder="1" applyAlignment="1" applyProtection="1">
      <alignment horizontal="left" vertical="center" wrapText="1"/>
      <protection/>
    </xf>
    <xf numFmtId="174" fontId="68" fillId="0" borderId="68" xfId="24" applyNumberFormat="1" applyFont="1" applyFill="1" applyBorder="1" applyAlignment="1" applyProtection="1">
      <alignment horizontal="right" vertical="center" wrapText="1"/>
      <protection/>
    </xf>
    <xf numFmtId="3" fontId="68" fillId="0" borderId="69" xfId="24" applyNumberFormat="1" applyFont="1" applyFill="1" applyBorder="1" applyAlignment="1" applyProtection="1">
      <alignment horizontal="left" vertical="center" wrapText="1"/>
      <protection/>
    </xf>
    <xf numFmtId="3" fontId="68" fillId="0" borderId="57" xfId="24" applyNumberFormat="1" applyFont="1" applyFill="1" applyBorder="1" applyAlignment="1" applyProtection="1">
      <alignment horizontal="left" vertical="center" wrapText="1"/>
      <protection/>
    </xf>
    <xf numFmtId="174" fontId="68" fillId="0" borderId="57" xfId="24" applyNumberFormat="1" applyFont="1" applyFill="1" applyBorder="1" applyAlignment="1" applyProtection="1">
      <alignment horizontal="right" vertical="center" wrapText="1"/>
      <protection/>
    </xf>
    <xf numFmtId="3" fontId="68" fillId="0" borderId="49" xfId="20" applyNumberFormat="1" applyFont="1" applyFill="1" applyBorder="1" applyAlignment="1" applyProtection="1">
      <alignment horizontal="left" vertical="center" wrapText="1"/>
      <protection/>
    </xf>
    <xf numFmtId="3" fontId="68" fillId="0" borderId="68" xfId="20" applyNumberFormat="1" applyFont="1" applyFill="1" applyBorder="1" applyAlignment="1" applyProtection="1">
      <alignment horizontal="left" vertical="center" wrapText="1"/>
      <protection/>
    </xf>
    <xf numFmtId="173" fontId="68" fillId="0" borderId="68" xfId="20" applyNumberFormat="1" applyFont="1" applyFill="1" applyBorder="1" applyAlignment="1" applyProtection="1">
      <alignment horizontal="right" vertical="center" wrapText="1"/>
      <protection/>
    </xf>
    <xf numFmtId="3" fontId="68" fillId="0" borderId="34" xfId="20" applyNumberFormat="1" applyFont="1" applyFill="1" applyBorder="1" applyAlignment="1" applyProtection="1">
      <alignment horizontal="left" vertical="center" wrapText="1"/>
      <protection/>
    </xf>
    <xf numFmtId="3" fontId="68" fillId="0" borderId="69" xfId="20" applyNumberFormat="1" applyFont="1" applyFill="1" applyBorder="1" applyAlignment="1" applyProtection="1">
      <alignment horizontal="left" vertical="center" wrapText="1"/>
      <protection/>
    </xf>
    <xf numFmtId="3" fontId="68" fillId="0" borderId="57" xfId="20" applyNumberFormat="1" applyFont="1" applyFill="1" applyBorder="1" applyAlignment="1" applyProtection="1">
      <alignment horizontal="left" vertical="center" wrapText="1"/>
      <protection/>
    </xf>
    <xf numFmtId="173" fontId="68" fillId="0" borderId="57" xfId="20" applyNumberFormat="1" applyFont="1" applyFill="1" applyBorder="1" applyAlignment="1" applyProtection="1">
      <alignment horizontal="right" vertical="center" wrapText="1"/>
      <protection/>
    </xf>
    <xf numFmtId="173" fontId="5" fillId="0" borderId="0" xfId="551" applyNumberFormat="1" applyFont="1" applyFill="1" applyBorder="1" applyAlignment="1" applyProtection="1">
      <alignment horizontal="center" vertical="center" wrapText="1"/>
      <protection/>
    </xf>
    <xf numFmtId="3" fontId="5" fillId="0" borderId="33" xfId="44" applyNumberFormat="1" applyFont="1" applyFill="1" applyBorder="1" applyAlignment="1" applyProtection="1">
      <alignment horizontal="left" vertical="center" wrapText="1"/>
      <protection/>
    </xf>
    <xf numFmtId="3" fontId="5" fillId="0" borderId="48" xfId="44" applyNumberFormat="1" applyFont="1" applyFill="1" applyBorder="1" applyAlignment="1" applyProtection="1">
      <alignment horizontal="left" vertical="center" wrapText="1"/>
      <protection/>
    </xf>
    <xf numFmtId="9" fontId="5" fillId="0" borderId="48" xfId="44" applyNumberFormat="1" applyFont="1" applyFill="1" applyBorder="1" applyAlignment="1">
      <alignment/>
    </xf>
    <xf numFmtId="0" fontId="69" fillId="0" borderId="67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3" fontId="68" fillId="0" borderId="67" xfId="0" applyNumberFormat="1" applyFont="1" applyBorder="1" applyAlignment="1">
      <alignment horizontal="center"/>
    </xf>
    <xf numFmtId="3" fontId="68" fillId="0" borderId="0" xfId="0" applyNumberFormat="1" applyFont="1" applyAlignment="1">
      <alignment horizontal="center"/>
    </xf>
    <xf numFmtId="49" fontId="68" fillId="0" borderId="0" xfId="49" applyNumberFormat="1" applyFont="1" applyAlignment="1">
      <alignment horizontal="center"/>
    </xf>
    <xf numFmtId="10" fontId="68" fillId="0" borderId="0" xfId="551" applyNumberFormat="1" applyFont="1" applyAlignment="1">
      <alignment/>
    </xf>
    <xf numFmtId="0" fontId="6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1" fontId="5" fillId="0" borderId="0" xfId="49" applyFont="1" applyAlignment="1">
      <alignment vertical="center"/>
    </xf>
    <xf numFmtId="0" fontId="4" fillId="0" borderId="0" xfId="0" applyFont="1" applyAlignment="1">
      <alignment horizontal="center" vertical="center"/>
    </xf>
    <xf numFmtId="171" fontId="4" fillId="0" borderId="0" xfId="49" applyFont="1" applyAlignment="1">
      <alignment horizontal="center" vertical="center"/>
    </xf>
    <xf numFmtId="49" fontId="69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49" applyNumberFormat="1" applyFont="1" applyAlignment="1">
      <alignment horizontal="center" vertical="center" wrapText="1"/>
    </xf>
    <xf numFmtId="49" fontId="4" fillId="0" borderId="0" xfId="49" applyNumberFormat="1" applyFont="1" applyAlignment="1">
      <alignment horizontal="center" vertical="center"/>
    </xf>
    <xf numFmtId="49" fontId="69" fillId="0" borderId="0" xfId="49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14" fontId="5" fillId="0" borderId="42" xfId="0" applyNumberFormat="1" applyFont="1" applyBorder="1" applyAlignment="1">
      <alignment horizontal="right" vertical="center"/>
    </xf>
    <xf numFmtId="41" fontId="5" fillId="0" borderId="42" xfId="50" applyFont="1" applyFill="1" applyBorder="1" applyAlignment="1" applyProtection="1">
      <alignment horizontal="right" vertical="center"/>
      <protection/>
    </xf>
    <xf numFmtId="14" fontId="5" fillId="0" borderId="67" xfId="0" applyNumberFormat="1" applyFont="1" applyBorder="1" applyAlignment="1">
      <alignment horizontal="right" vertical="center"/>
    </xf>
    <xf numFmtId="41" fontId="5" fillId="0" borderId="67" xfId="50" applyFont="1" applyFill="1" applyBorder="1" applyAlignment="1" applyProtection="1">
      <alignment horizontal="right" vertical="center"/>
      <protection/>
    </xf>
    <xf numFmtId="0" fontId="69" fillId="0" borderId="0" xfId="0" applyFont="1" applyAlignment="1">
      <alignment vertical="center"/>
    </xf>
    <xf numFmtId="41" fontId="4" fillId="0" borderId="33" xfId="50" applyFont="1" applyFill="1" applyBorder="1" applyAlignment="1">
      <alignment horizontal="right" vertical="center"/>
    </xf>
    <xf numFmtId="41" fontId="4" fillId="0" borderId="0" xfId="50" applyFont="1" applyAlignment="1">
      <alignment horizontal="right" vertical="center"/>
    </xf>
    <xf numFmtId="41" fontId="68" fillId="0" borderId="0" xfId="50" applyFont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41" fontId="4" fillId="0" borderId="71" xfId="50" applyFont="1" applyFill="1" applyBorder="1" applyAlignment="1">
      <alignment horizontal="right" vertical="center"/>
    </xf>
    <xf numFmtId="41" fontId="4" fillId="0" borderId="71" xfId="50" applyFont="1" applyBorder="1" applyAlignment="1">
      <alignment horizontal="right" vertical="center"/>
    </xf>
    <xf numFmtId="41" fontId="69" fillId="0" borderId="71" xfId="50" applyFont="1" applyBorder="1" applyAlignment="1">
      <alignment horizontal="right" vertical="center"/>
    </xf>
    <xf numFmtId="41" fontId="69" fillId="0" borderId="48" xfId="50" applyFont="1" applyBorder="1" applyAlignment="1">
      <alignment horizontal="right" vertical="center"/>
    </xf>
    <xf numFmtId="41" fontId="69" fillId="0" borderId="0" xfId="50" applyFont="1" applyAlignment="1">
      <alignment horizontal="right" vertical="center"/>
    </xf>
    <xf numFmtId="0" fontId="4" fillId="0" borderId="0" xfId="0" applyFont="1" applyAlignment="1">
      <alignment vertical="center"/>
    </xf>
    <xf numFmtId="41" fontId="4" fillId="0" borderId="0" xfId="50" applyFont="1" applyBorder="1" applyAlignment="1">
      <alignment horizontal="right" vertical="center"/>
    </xf>
    <xf numFmtId="41" fontId="69" fillId="0" borderId="0" xfId="50" applyFont="1" applyBorder="1" applyAlignment="1">
      <alignment horizontal="right" vertical="center"/>
    </xf>
    <xf numFmtId="49" fontId="4" fillId="0" borderId="0" xfId="50" applyNumberFormat="1" applyFont="1" applyAlignment="1">
      <alignment horizontal="center" vertical="center" wrapText="1"/>
    </xf>
    <xf numFmtId="49" fontId="4" fillId="0" borderId="0" xfId="50" applyNumberFormat="1" applyFont="1" applyAlignment="1">
      <alignment horizontal="center" vertical="center"/>
    </xf>
    <xf numFmtId="49" fontId="69" fillId="0" borderId="0" xfId="50" applyNumberFormat="1" applyFont="1" applyAlignment="1">
      <alignment horizontal="center" vertical="center"/>
    </xf>
    <xf numFmtId="41" fontId="5" fillId="0" borderId="42" xfId="551" applyNumberFormat="1" applyFont="1" applyFill="1" applyBorder="1" applyAlignment="1" applyProtection="1">
      <alignment horizontal="right" vertical="center"/>
      <protection/>
    </xf>
    <xf numFmtId="41" fontId="75" fillId="0" borderId="42" xfId="50" applyFont="1" applyFill="1" applyBorder="1" applyAlignment="1" applyProtection="1">
      <alignment horizontal="right" vertical="center"/>
      <protection/>
    </xf>
    <xf numFmtId="41" fontId="75" fillId="0" borderId="67" xfId="50" applyFont="1" applyFill="1" applyBorder="1" applyAlignment="1" applyProtection="1">
      <alignment horizontal="right" vertical="center"/>
      <protection/>
    </xf>
    <xf numFmtId="41" fontId="68" fillId="0" borderId="0" xfId="0" applyNumberFormat="1" applyFont="1" applyAlignment="1">
      <alignment vertical="center"/>
    </xf>
    <xf numFmtId="9" fontId="68" fillId="0" borderId="0" xfId="551" applyFont="1" applyAlignment="1">
      <alignment vertical="center"/>
    </xf>
    <xf numFmtId="14" fontId="5" fillId="0" borderId="38" xfId="0" applyNumberFormat="1" applyFont="1" applyBorder="1" applyAlignment="1">
      <alignment horizontal="right" vertical="center"/>
    </xf>
    <xf numFmtId="41" fontId="5" fillId="0" borderId="38" xfId="50" applyFont="1" applyFill="1" applyBorder="1" applyAlignment="1" applyProtection="1">
      <alignment horizontal="right" vertical="center"/>
      <protection/>
    </xf>
    <xf numFmtId="41" fontId="5" fillId="0" borderId="0" xfId="50" applyFont="1" applyAlignment="1">
      <alignment horizontal="right" vertical="center"/>
    </xf>
    <xf numFmtId="41" fontId="5" fillId="0" borderId="0" xfId="50" applyFont="1" applyFill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41" fontId="4" fillId="0" borderId="35" xfId="50" applyFont="1" applyFill="1" applyBorder="1" applyAlignment="1">
      <alignment horizontal="right" vertical="center"/>
    </xf>
    <xf numFmtId="41" fontId="4" fillId="0" borderId="0" xfId="50" applyFont="1" applyFill="1" applyBorder="1" applyAlignment="1">
      <alignment horizontal="right" vertical="center"/>
    </xf>
    <xf numFmtId="0" fontId="5" fillId="0" borderId="63" xfId="0" applyFont="1" applyBorder="1" applyAlignment="1">
      <alignment vertical="center"/>
    </xf>
    <xf numFmtId="1" fontId="5" fillId="0" borderId="67" xfId="0" applyNumberFormat="1" applyFont="1" applyBorder="1" applyAlignment="1">
      <alignment horizontal="center" vertical="center"/>
    </xf>
    <xf numFmtId="0" fontId="5" fillId="0" borderId="72" xfId="0" applyFont="1" applyBorder="1" applyAlignment="1">
      <alignment vertical="center"/>
    </xf>
    <xf numFmtId="1" fontId="5" fillId="0" borderId="38" xfId="0" applyNumberFormat="1" applyFont="1" applyBorder="1" applyAlignment="1">
      <alignment horizontal="center" vertical="center"/>
    </xf>
    <xf numFmtId="3" fontId="68" fillId="0" borderId="0" xfId="0" applyNumberFormat="1" applyFont="1" applyAlignment="1">
      <alignment vertical="center"/>
    </xf>
    <xf numFmtId="41" fontId="4" fillId="0" borderId="0" xfId="50" applyFont="1" applyFill="1" applyBorder="1" applyAlignment="1" applyProtection="1">
      <alignment horizontal="right" vertical="center"/>
      <protection/>
    </xf>
    <xf numFmtId="41" fontId="4" fillId="0" borderId="65" xfId="50" applyFont="1" applyFill="1" applyBorder="1" applyAlignment="1">
      <alignment horizontal="right" vertical="center"/>
    </xf>
    <xf numFmtId="180" fontId="69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71" fontId="68" fillId="0" borderId="0" xfId="49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38" borderId="63" xfId="547" applyFont="1" applyFill="1" applyBorder="1" applyAlignment="1">
      <alignment horizontal="left" vertical="center"/>
      <protection/>
    </xf>
    <xf numFmtId="176" fontId="5" fillId="0" borderId="67" xfId="450" applyNumberFormat="1" applyFont="1" applyFill="1" applyBorder="1" applyAlignment="1">
      <alignment horizontal="justify" vertical="center" wrapText="1"/>
    </xf>
    <xf numFmtId="0" fontId="5" fillId="0" borderId="63" xfId="0" applyFont="1" applyBorder="1" applyAlignment="1">
      <alignment horizontal="left" vertical="center" wrapText="1"/>
    </xf>
    <xf numFmtId="0" fontId="5" fillId="35" borderId="63" xfId="0" applyFont="1" applyFill="1" applyBorder="1" applyAlignment="1">
      <alignment horizontal="left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4" fillId="36" borderId="37" xfId="547" applyFont="1" applyFill="1" applyBorder="1" applyAlignment="1">
      <alignment horizontal="left" vertical="center"/>
      <protection/>
    </xf>
    <xf numFmtId="165" fontId="5" fillId="0" borderId="0" xfId="551" applyNumberFormat="1" applyFont="1" applyBorder="1" applyAlignment="1">
      <alignment horizontal="center" vertical="center" wrapText="1"/>
    </xf>
    <xf numFmtId="17" fontId="5" fillId="0" borderId="46" xfId="0" applyNumberFormat="1" applyFont="1" applyBorder="1" applyAlignment="1">
      <alignment horizontal="center" vertical="center" wrapText="1" readingOrder="1"/>
    </xf>
    <xf numFmtId="165" fontId="5" fillId="0" borderId="46" xfId="0" applyNumberFormat="1" applyFont="1" applyBorder="1" applyAlignment="1">
      <alignment vertical="center" wrapText="1" readingOrder="1"/>
    </xf>
    <xf numFmtId="165" fontId="5" fillId="0" borderId="0" xfId="0" applyNumberFormat="1" applyFont="1" applyAlignment="1">
      <alignment vertical="center" wrapText="1" readingOrder="1"/>
    </xf>
    <xf numFmtId="165" fontId="5" fillId="0" borderId="67" xfId="0" applyNumberFormat="1" applyFont="1" applyBorder="1" applyAlignment="1">
      <alignment vertical="center" wrapText="1" readingOrder="1"/>
    </xf>
    <xf numFmtId="165" fontId="5" fillId="0" borderId="73" xfId="0" applyNumberFormat="1" applyFont="1" applyBorder="1" applyAlignment="1">
      <alignment vertical="center" wrapText="1" readingOrder="1"/>
    </xf>
    <xf numFmtId="165" fontId="76" fillId="0" borderId="0" xfId="0" applyNumberFormat="1" applyFont="1" applyAlignment="1">
      <alignment horizontal="right" vertical="center" wrapText="1" readingOrder="1"/>
    </xf>
    <xf numFmtId="165" fontId="75" fillId="0" borderId="0" xfId="0" applyNumberFormat="1" applyFont="1" applyAlignment="1">
      <alignment horizontal="center"/>
    </xf>
    <xf numFmtId="41" fontId="69" fillId="0" borderId="0" xfId="51" applyFont="1" applyAlignment="1">
      <alignment horizontal="center"/>
    </xf>
    <xf numFmtId="0" fontId="72" fillId="37" borderId="67" xfId="539" applyFont="1" applyFill="1" applyBorder="1" applyAlignment="1">
      <alignment horizontal="center" vertical="center" wrapText="1"/>
      <protection/>
    </xf>
    <xf numFmtId="176" fontId="72" fillId="37" borderId="67" xfId="457" applyNumberFormat="1" applyFont="1" applyFill="1" applyBorder="1" applyAlignment="1">
      <alignment horizontal="center" vertical="center" wrapText="1"/>
    </xf>
    <xf numFmtId="2" fontId="72" fillId="37" borderId="67" xfId="140" applyNumberFormat="1" applyFont="1" applyFill="1" applyBorder="1" applyAlignment="1">
      <alignment horizontal="center" vertical="center" wrapText="1"/>
    </xf>
    <xf numFmtId="176" fontId="72" fillId="37" borderId="67" xfId="457" applyNumberFormat="1" applyFont="1" applyFill="1" applyBorder="1" applyAlignment="1">
      <alignment/>
    </xf>
    <xf numFmtId="0" fontId="72" fillId="37" borderId="67" xfId="539" applyFont="1" applyFill="1" applyBorder="1">
      <alignment/>
      <protection/>
    </xf>
    <xf numFmtId="176" fontId="72" fillId="37" borderId="67" xfId="539" applyNumberFormat="1" applyFont="1" applyFill="1" applyBorder="1">
      <alignment/>
      <protection/>
    </xf>
    <xf numFmtId="176" fontId="72" fillId="37" borderId="67" xfId="457" applyNumberFormat="1" applyFont="1" applyFill="1" applyBorder="1" applyAlignment="1">
      <alignment vertical="center"/>
    </xf>
    <xf numFmtId="0" fontId="72" fillId="37" borderId="67" xfId="539" applyFont="1" applyFill="1" applyBorder="1" applyAlignment="1">
      <alignment vertical="center"/>
      <protection/>
    </xf>
    <xf numFmtId="176" fontId="72" fillId="37" borderId="67" xfId="539" applyNumberFormat="1" applyFont="1" applyFill="1" applyBorder="1" applyAlignment="1">
      <alignment vertical="center"/>
      <protection/>
    </xf>
    <xf numFmtId="0" fontId="72" fillId="37" borderId="33" xfId="0" applyFont="1" applyFill="1" applyBorder="1" applyAlignment="1">
      <alignment horizontal="center"/>
    </xf>
    <xf numFmtId="0" fontId="72" fillId="37" borderId="48" xfId="0" applyFont="1" applyFill="1" applyBorder="1" applyAlignment="1">
      <alignment horizontal="center"/>
    </xf>
    <xf numFmtId="0" fontId="72" fillId="37" borderId="49" xfId="25" applyFont="1" applyFill="1" applyBorder="1" applyAlignment="1">
      <alignment horizontal="center"/>
    </xf>
    <xf numFmtId="0" fontId="71" fillId="37" borderId="70" xfId="25" applyFont="1" applyFill="1" applyBorder="1" applyAlignment="1">
      <alignment/>
    </xf>
    <xf numFmtId="0" fontId="71" fillId="37" borderId="60" xfId="25" applyFont="1" applyFill="1" applyBorder="1" applyAlignment="1">
      <alignment/>
    </xf>
    <xf numFmtId="173" fontId="71" fillId="37" borderId="48" xfId="44" applyNumberFormat="1" applyFont="1" applyFill="1" applyBorder="1" applyAlignment="1" applyProtection="1">
      <alignment horizontal="center" vertical="center" wrapText="1"/>
      <protection/>
    </xf>
    <xf numFmtId="3" fontId="72" fillId="37" borderId="33" xfId="44" applyNumberFormat="1" applyFont="1" applyFill="1" applyBorder="1" applyAlignment="1" applyProtection="1">
      <alignment horizontal="left" vertical="center" wrapText="1"/>
      <protection/>
    </xf>
    <xf numFmtId="3" fontId="72" fillId="37" borderId="48" xfId="44" applyNumberFormat="1" applyFont="1" applyFill="1" applyBorder="1" applyAlignment="1" applyProtection="1">
      <alignment horizontal="left" vertical="center" wrapText="1"/>
      <protection/>
    </xf>
    <xf numFmtId="0" fontId="72" fillId="37" borderId="40" xfId="0" applyFont="1" applyFill="1" applyBorder="1" applyAlignment="1">
      <alignment horizontal="center" vertical="center"/>
    </xf>
    <xf numFmtId="0" fontId="72" fillId="37" borderId="40" xfId="0" applyFont="1" applyFill="1" applyBorder="1" applyAlignment="1">
      <alignment horizontal="center" vertical="center" wrapText="1"/>
    </xf>
    <xf numFmtId="41" fontId="72" fillId="37" borderId="40" xfId="50" applyFont="1" applyFill="1" applyBorder="1" applyAlignment="1">
      <alignment horizontal="center" vertical="center" wrapText="1"/>
    </xf>
    <xf numFmtId="41" fontId="72" fillId="37" borderId="40" xfId="50" applyFont="1" applyFill="1" applyBorder="1" applyAlignment="1" applyProtection="1">
      <alignment horizontal="center" vertical="center" wrapText="1"/>
      <protection/>
    </xf>
    <xf numFmtId="0" fontId="72" fillId="37" borderId="39" xfId="0" applyFont="1" applyFill="1" applyBorder="1" applyAlignment="1">
      <alignment horizontal="center" vertical="center" wrapText="1"/>
    </xf>
    <xf numFmtId="41" fontId="68" fillId="0" borderId="64" xfId="50" applyFont="1" applyBorder="1" applyAlignment="1">
      <alignment horizontal="right" vertical="center"/>
    </xf>
    <xf numFmtId="180" fontId="72" fillId="37" borderId="40" xfId="0" applyNumberFormat="1" applyFont="1" applyFill="1" applyBorder="1" applyAlignment="1">
      <alignment horizontal="center" vertical="center" wrapText="1"/>
    </xf>
    <xf numFmtId="180" fontId="72" fillId="37" borderId="40" xfId="49" applyNumberFormat="1" applyFont="1" applyFill="1" applyBorder="1" applyAlignment="1">
      <alignment horizontal="center" vertical="center" wrapText="1"/>
    </xf>
    <xf numFmtId="180" fontId="72" fillId="37" borderId="40" xfId="49" applyNumberFormat="1" applyFont="1" applyFill="1" applyBorder="1" applyAlignment="1" applyProtection="1">
      <alignment horizontal="center" vertical="center" wrapText="1"/>
      <protection/>
    </xf>
    <xf numFmtId="180" fontId="72" fillId="37" borderId="41" xfId="49" applyNumberFormat="1" applyFont="1" applyFill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1" fontId="4" fillId="0" borderId="35" xfId="50" applyFont="1" applyFill="1" applyBorder="1" applyAlignment="1" applyProtection="1">
      <alignment horizontal="right" vertical="center"/>
      <protection/>
    </xf>
    <xf numFmtId="41" fontId="69" fillId="0" borderId="36" xfId="50" applyFont="1" applyBorder="1" applyAlignment="1">
      <alignment horizontal="right" vertical="center"/>
    </xf>
    <xf numFmtId="0" fontId="5" fillId="0" borderId="62" xfId="0" applyFont="1" applyBorder="1" applyAlignment="1">
      <alignment vertical="center"/>
    </xf>
    <xf numFmtId="1" fontId="5" fillId="0" borderId="42" xfId="0" applyNumberFormat="1" applyFont="1" applyBorder="1" applyAlignment="1">
      <alignment horizontal="center" vertical="center"/>
    </xf>
    <xf numFmtId="41" fontId="68" fillId="0" borderId="42" xfId="50" applyFont="1" applyBorder="1" applyAlignment="1">
      <alignment horizontal="right" vertical="center"/>
    </xf>
    <xf numFmtId="41" fontId="68" fillId="0" borderId="43" xfId="50" applyFont="1" applyBorder="1" applyAlignment="1">
      <alignment horizontal="right" vertical="center"/>
    </xf>
    <xf numFmtId="41" fontId="68" fillId="0" borderId="38" xfId="50" applyFont="1" applyBorder="1" applyAlignment="1">
      <alignment horizontal="right" vertical="center"/>
    </xf>
    <xf numFmtId="41" fontId="68" fillId="0" borderId="44" xfId="50" applyFont="1" applyBorder="1" applyAlignment="1">
      <alignment horizontal="right" vertical="center"/>
    </xf>
    <xf numFmtId="1" fontId="5" fillId="35" borderId="67" xfId="0" applyNumberFormat="1" applyFont="1" applyFill="1" applyBorder="1" applyAlignment="1">
      <alignment horizontal="center" vertical="center"/>
    </xf>
    <xf numFmtId="3" fontId="5" fillId="0" borderId="63" xfId="0" applyNumberFormat="1" applyFont="1" applyBorder="1" applyAlignment="1">
      <alignment horizontal="left" vertical="center"/>
    </xf>
    <xf numFmtId="41" fontId="72" fillId="37" borderId="41" xfId="50" applyFont="1" applyFill="1" applyBorder="1" applyAlignment="1" applyProtection="1">
      <alignment horizontal="center" vertical="center" wrapText="1"/>
      <protection/>
    </xf>
    <xf numFmtId="3" fontId="5" fillId="0" borderId="62" xfId="0" applyNumberFormat="1" applyFont="1" applyBorder="1" applyAlignment="1">
      <alignment horizontal="left" vertical="center"/>
    </xf>
    <xf numFmtId="1" fontId="5" fillId="35" borderId="42" xfId="0" applyNumberFormat="1" applyFont="1" applyFill="1" applyBorder="1" applyAlignment="1">
      <alignment horizontal="center" vertical="center"/>
    </xf>
    <xf numFmtId="41" fontId="4" fillId="0" borderId="35" xfId="50" applyFont="1" applyBorder="1" applyAlignment="1">
      <alignment horizontal="right" vertical="center"/>
    </xf>
    <xf numFmtId="41" fontId="69" fillId="0" borderId="35" xfId="50" applyFont="1" applyBorder="1" applyAlignment="1">
      <alignment horizontal="right" vertical="center"/>
    </xf>
    <xf numFmtId="41" fontId="75" fillId="0" borderId="38" xfId="50" applyFont="1" applyFill="1" applyBorder="1" applyAlignment="1" applyProtection="1">
      <alignment horizontal="right" vertical="center"/>
      <protection/>
    </xf>
    <xf numFmtId="41" fontId="4" fillId="0" borderId="36" xfId="50" applyFont="1" applyBorder="1" applyAlignment="1">
      <alignment horizontal="right" vertical="center"/>
    </xf>
    <xf numFmtId="49" fontId="4" fillId="39" borderId="49" xfId="50" applyNumberFormat="1" applyFont="1" applyFill="1" applyBorder="1" applyAlignment="1">
      <alignment horizontal="center" vertical="center" wrapText="1"/>
    </xf>
    <xf numFmtId="176" fontId="4" fillId="36" borderId="42" xfId="450" applyNumberFormat="1" applyFont="1" applyFill="1" applyBorder="1" applyAlignment="1">
      <alignment horizontal="right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justify" vertical="center" wrapText="1"/>
    </xf>
    <xf numFmtId="0" fontId="4" fillId="36" borderId="62" xfId="0" applyFont="1" applyFill="1" applyBorder="1" applyAlignment="1">
      <alignment horizontal="left" vertical="center" wrapText="1"/>
    </xf>
    <xf numFmtId="0" fontId="4" fillId="36" borderId="40" xfId="0" applyFont="1" applyFill="1" applyBorder="1" applyAlignment="1">
      <alignment horizontal="center" vertical="center" wrapText="1"/>
    </xf>
    <xf numFmtId="176" fontId="4" fillId="38" borderId="67" xfId="450" applyNumberFormat="1" applyFont="1" applyFill="1" applyBorder="1" applyAlignment="1">
      <alignment vertical="center"/>
    </xf>
    <xf numFmtId="178" fontId="4" fillId="36" borderId="40" xfId="450" applyNumberFormat="1" applyFont="1" applyFill="1" applyBorder="1" applyAlignment="1">
      <alignment horizontal="center" vertical="center" wrapText="1"/>
    </xf>
    <xf numFmtId="176" fontId="4" fillId="36" borderId="40" xfId="45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169" fontId="5" fillId="0" borderId="0" xfId="450" applyFont="1" applyAlignment="1">
      <alignment horizontal="justify" vertical="center" wrapText="1"/>
    </xf>
    <xf numFmtId="0" fontId="4" fillId="36" borderId="41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vertical="center"/>
    </xf>
    <xf numFmtId="176" fontId="4" fillId="36" borderId="42" xfId="450" applyNumberFormat="1" applyFont="1" applyFill="1" applyBorder="1" applyAlignment="1">
      <alignment vertical="center"/>
    </xf>
    <xf numFmtId="176" fontId="5" fillId="36" borderId="43" xfId="450" applyNumberFormat="1" applyFont="1" applyFill="1" applyBorder="1" applyAlignment="1">
      <alignment vertical="center"/>
    </xf>
    <xf numFmtId="176" fontId="5" fillId="38" borderId="64" xfId="450" applyNumberFormat="1" applyFont="1" applyFill="1" applyBorder="1" applyAlignment="1">
      <alignment vertical="center"/>
    </xf>
    <xf numFmtId="176" fontId="4" fillId="38" borderId="67" xfId="450" applyNumberFormat="1" applyFont="1" applyFill="1" applyBorder="1" applyAlignment="1">
      <alignment horizontal="center" vertical="center"/>
    </xf>
    <xf numFmtId="176" fontId="5" fillId="35" borderId="64" xfId="450" applyNumberFormat="1" applyFont="1" applyFill="1" applyBorder="1" applyAlignment="1">
      <alignment horizontal="justify" vertical="center" wrapText="1"/>
    </xf>
    <xf numFmtId="0" fontId="5" fillId="0" borderId="72" xfId="0" applyFont="1" applyBorder="1" applyAlignment="1">
      <alignment horizontal="left" vertical="center" wrapText="1"/>
    </xf>
    <xf numFmtId="176" fontId="5" fillId="0" borderId="38" xfId="450" applyNumberFormat="1" applyFont="1" applyFill="1" applyBorder="1" applyAlignment="1">
      <alignment horizontal="justify" vertical="center" wrapText="1"/>
    </xf>
    <xf numFmtId="0" fontId="5" fillId="0" borderId="38" xfId="0" applyFont="1" applyBorder="1" applyAlignment="1">
      <alignment horizontal="center" vertical="center" wrapText="1"/>
    </xf>
    <xf numFmtId="176" fontId="5" fillId="35" borderId="44" xfId="450" applyNumberFormat="1" applyFont="1" applyFill="1" applyBorder="1" applyAlignment="1">
      <alignment horizontal="justify" vertical="center" wrapText="1"/>
    </xf>
    <xf numFmtId="169" fontId="4" fillId="36" borderId="35" xfId="450" applyFont="1" applyFill="1" applyBorder="1" applyAlignment="1">
      <alignment vertical="center"/>
    </xf>
    <xf numFmtId="0" fontId="4" fillId="36" borderId="35" xfId="0" applyFont="1" applyFill="1" applyBorder="1" applyAlignment="1">
      <alignment vertical="center"/>
    </xf>
    <xf numFmtId="176" fontId="4" fillId="36" borderId="35" xfId="450" applyNumberFormat="1" applyFont="1" applyFill="1" applyBorder="1" applyAlignment="1">
      <alignment vertical="center"/>
    </xf>
    <xf numFmtId="176" fontId="5" fillId="36" borderId="36" xfId="450" applyNumberFormat="1" applyFont="1" applyFill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4" fillId="33" borderId="63" xfId="50" applyFont="1" applyFill="1" applyBorder="1" applyAlignment="1">
      <alignment horizontal="right" vertical="center"/>
    </xf>
    <xf numFmtId="41" fontId="4" fillId="0" borderId="74" xfId="50" applyFont="1" applyBorder="1" applyAlignment="1">
      <alignment horizontal="right"/>
    </xf>
    <xf numFmtId="41" fontId="4" fillId="0" borderId="0" xfId="50" applyFont="1" applyBorder="1" applyAlignment="1">
      <alignment horizontal="right"/>
    </xf>
    <xf numFmtId="41" fontId="4" fillId="0" borderId="65" xfId="50" applyFont="1" applyBorder="1" applyAlignment="1">
      <alignment horizontal="center" vertical="center" wrapText="1"/>
    </xf>
    <xf numFmtId="41" fontId="4" fillId="0" borderId="75" xfId="50" applyFont="1" applyBorder="1" applyAlignment="1">
      <alignment horizontal="center" vertical="center" wrapText="1"/>
    </xf>
    <xf numFmtId="41" fontId="4" fillId="0" borderId="33" xfId="50" applyFont="1" applyBorder="1" applyAlignment="1">
      <alignment horizontal="center" vertical="center" wrapText="1"/>
    </xf>
    <xf numFmtId="41" fontId="4" fillId="0" borderId="37" xfId="50" applyFont="1" applyBorder="1" applyAlignment="1">
      <alignment horizontal="center" vertical="center" wrapText="1"/>
    </xf>
    <xf numFmtId="41" fontId="4" fillId="0" borderId="76" xfId="50" applyFont="1" applyBorder="1" applyAlignment="1">
      <alignment horizontal="right" vertical="center"/>
    </xf>
    <xf numFmtId="41" fontId="4" fillId="35" borderId="77" xfId="50" applyFont="1" applyFill="1" applyBorder="1" applyAlignment="1">
      <alignment horizontal="right" vertical="center"/>
    </xf>
    <xf numFmtId="41" fontId="4" fillId="0" borderId="78" xfId="50" applyFont="1" applyBorder="1" applyAlignment="1">
      <alignment horizontal="right" vertical="center"/>
    </xf>
    <xf numFmtId="41" fontId="4" fillId="0" borderId="79" xfId="50" applyFont="1" applyBorder="1" applyAlignment="1">
      <alignment horizontal="right" vertical="center"/>
    </xf>
    <xf numFmtId="41" fontId="5" fillId="0" borderId="63" xfId="50" applyFont="1" applyBorder="1" applyAlignment="1">
      <alignment horizontal="right" vertical="center"/>
    </xf>
    <xf numFmtId="41" fontId="5" fillId="35" borderId="80" xfId="50" applyFont="1" applyFill="1" applyBorder="1" applyAlignment="1">
      <alignment horizontal="right" vertical="center"/>
    </xf>
    <xf numFmtId="41" fontId="5" fillId="0" borderId="81" xfId="50" applyFont="1" applyBorder="1" applyAlignment="1">
      <alignment horizontal="right" vertical="center"/>
    </xf>
    <xf numFmtId="41" fontId="5" fillId="0" borderId="82" xfId="50" applyFont="1" applyBorder="1" applyAlignment="1">
      <alignment horizontal="right" vertical="center"/>
    </xf>
    <xf numFmtId="41" fontId="4" fillId="0" borderId="63" xfId="50" applyFont="1" applyBorder="1" applyAlignment="1">
      <alignment horizontal="right" vertical="center"/>
    </xf>
    <xf numFmtId="41" fontId="4" fillId="35" borderId="80" xfId="50" applyFont="1" applyFill="1" applyBorder="1" applyAlignment="1">
      <alignment horizontal="right" vertical="center"/>
    </xf>
    <xf numFmtId="41" fontId="4" fillId="0" borderId="81" xfId="50" applyFont="1" applyBorder="1" applyAlignment="1">
      <alignment horizontal="right" vertical="center"/>
    </xf>
    <xf numFmtId="41" fontId="4" fillId="0" borderId="82" xfId="50" applyFont="1" applyBorder="1" applyAlignment="1">
      <alignment horizontal="right" vertical="center"/>
    </xf>
    <xf numFmtId="41" fontId="4" fillId="35" borderId="81" xfId="50" applyFont="1" applyFill="1" applyBorder="1" applyAlignment="1">
      <alignment horizontal="right" vertical="center"/>
    </xf>
    <xf numFmtId="41" fontId="4" fillId="33" borderId="80" xfId="50" applyFont="1" applyFill="1" applyBorder="1" applyAlignment="1">
      <alignment horizontal="right" vertical="center"/>
    </xf>
    <xf numFmtId="41" fontId="4" fillId="33" borderId="81" xfId="50" applyFont="1" applyFill="1" applyBorder="1" applyAlignment="1">
      <alignment horizontal="right" vertical="center"/>
    </xf>
    <xf numFmtId="41" fontId="4" fillId="33" borderId="82" xfId="50" applyFont="1" applyFill="1" applyBorder="1" applyAlignment="1">
      <alignment horizontal="right" vertical="center"/>
    </xf>
    <xf numFmtId="41" fontId="5" fillId="0" borderId="80" xfId="50" applyFont="1" applyBorder="1" applyAlignment="1">
      <alignment horizontal="right" vertical="center"/>
    </xf>
    <xf numFmtId="41" fontId="5" fillId="0" borderId="72" xfId="50" applyFont="1" applyBorder="1" applyAlignment="1">
      <alignment horizontal="right" vertical="center"/>
    </xf>
    <xf numFmtId="41" fontId="5" fillId="0" borderId="83" xfId="50" applyFont="1" applyBorder="1" applyAlignment="1">
      <alignment horizontal="right" vertical="center"/>
    </xf>
    <xf numFmtId="41" fontId="5" fillId="0" borderId="84" xfId="50" applyFont="1" applyBorder="1" applyAlignment="1">
      <alignment horizontal="right" vertical="center"/>
    </xf>
    <xf numFmtId="41" fontId="5" fillId="0" borderId="85" xfId="50" applyFont="1" applyBorder="1" applyAlignment="1">
      <alignment horizontal="right" vertical="center"/>
    </xf>
    <xf numFmtId="41" fontId="4" fillId="33" borderId="33" xfId="50" applyFont="1" applyFill="1" applyBorder="1" applyAlignment="1">
      <alignment horizontal="right" vertical="center"/>
    </xf>
    <xf numFmtId="41" fontId="4" fillId="33" borderId="71" xfId="50" applyFont="1" applyFill="1" applyBorder="1" applyAlignment="1">
      <alignment horizontal="right" vertical="center"/>
    </xf>
    <xf numFmtId="41" fontId="5" fillId="33" borderId="86" xfId="50" applyFont="1" applyFill="1" applyBorder="1" applyAlignment="1">
      <alignment horizontal="right" vertical="center"/>
    </xf>
    <xf numFmtId="41" fontId="5" fillId="33" borderId="87" xfId="50" applyFont="1" applyFill="1" applyBorder="1" applyAlignment="1">
      <alignment horizontal="right" vertical="center"/>
    </xf>
    <xf numFmtId="41" fontId="5" fillId="33" borderId="88" xfId="50" applyFont="1" applyFill="1" applyBorder="1" applyAlignment="1">
      <alignment horizontal="right" vertical="center"/>
    </xf>
    <xf numFmtId="41" fontId="5" fillId="33" borderId="34" xfId="50" applyFont="1" applyFill="1" applyBorder="1" applyAlignment="1">
      <alignment horizontal="right" vertical="center"/>
    </xf>
    <xf numFmtId="41" fontId="5" fillId="33" borderId="49" xfId="50" applyFont="1" applyFill="1" applyBorder="1" applyAlignment="1">
      <alignment horizontal="right" vertical="center"/>
    </xf>
    <xf numFmtId="41" fontId="5" fillId="33" borderId="0" xfId="50" applyFont="1" applyFill="1" applyBorder="1" applyAlignment="1">
      <alignment horizontal="right" vertical="center"/>
    </xf>
    <xf numFmtId="41" fontId="4" fillId="33" borderId="34" xfId="50" applyFont="1" applyFill="1" applyBorder="1" applyAlignment="1">
      <alignment horizontal="right" vertical="center"/>
    </xf>
    <xf numFmtId="41" fontId="5" fillId="33" borderId="65" xfId="50" applyFont="1" applyFill="1" applyBorder="1" applyAlignment="1">
      <alignment horizontal="right" vertical="center"/>
    </xf>
    <xf numFmtId="41" fontId="5" fillId="33" borderId="75" xfId="50" applyFont="1" applyFill="1" applyBorder="1" applyAlignment="1">
      <alignment horizontal="right" vertical="center"/>
    </xf>
    <xf numFmtId="41" fontId="5" fillId="33" borderId="89" xfId="50" applyFont="1" applyFill="1" applyBorder="1" applyAlignment="1">
      <alignment horizontal="right" vertical="center"/>
    </xf>
    <xf numFmtId="41" fontId="5" fillId="33" borderId="33" xfId="50" applyFont="1" applyFill="1" applyBorder="1" applyAlignment="1">
      <alignment horizontal="right" vertical="center"/>
    </xf>
    <xf numFmtId="41" fontId="5" fillId="33" borderId="71" xfId="50" applyFont="1" applyFill="1" applyBorder="1" applyAlignment="1">
      <alignment horizontal="right" vertical="center"/>
    </xf>
    <xf numFmtId="41" fontId="5" fillId="0" borderId="0" xfId="50" applyFont="1" applyAlignment="1">
      <alignment horizontal="right"/>
    </xf>
    <xf numFmtId="174" fontId="4" fillId="0" borderId="0" xfId="551" applyNumberFormat="1" applyFont="1" applyAlignment="1">
      <alignment horizontal="center" vertical="center"/>
    </xf>
    <xf numFmtId="174" fontId="4" fillId="0" borderId="0" xfId="551" applyNumberFormat="1" applyFont="1" applyAlignment="1">
      <alignment horizontal="center" vertical="center" wrapText="1"/>
    </xf>
    <xf numFmtId="174" fontId="72" fillId="37" borderId="40" xfId="551" applyNumberFormat="1" applyFont="1" applyFill="1" applyBorder="1" applyAlignment="1" applyProtection="1">
      <alignment horizontal="center" vertical="center" wrapText="1"/>
      <protection/>
    </xf>
    <xf numFmtId="174" fontId="5" fillId="0" borderId="0" xfId="551" applyNumberFormat="1" applyFont="1" applyAlignment="1">
      <alignment horizontal="center" vertical="center"/>
    </xf>
    <xf numFmtId="174" fontId="68" fillId="0" borderId="0" xfId="551" applyNumberFormat="1" applyFont="1" applyAlignment="1">
      <alignment horizontal="center" vertical="center"/>
    </xf>
    <xf numFmtId="174" fontId="5" fillId="0" borderId="42" xfId="551" applyNumberFormat="1" applyFont="1" applyFill="1" applyBorder="1" applyAlignment="1" applyProtection="1">
      <alignment horizontal="center" vertical="center"/>
      <protection/>
    </xf>
    <xf numFmtId="174" fontId="5" fillId="0" borderId="67" xfId="551" applyNumberFormat="1" applyFont="1" applyFill="1" applyBorder="1" applyAlignment="1" applyProtection="1">
      <alignment horizontal="center" vertical="center"/>
      <protection/>
    </xf>
    <xf numFmtId="174" fontId="5" fillId="0" borderId="38" xfId="551" applyNumberFormat="1" applyFont="1" applyFill="1" applyBorder="1" applyAlignment="1" applyProtection="1">
      <alignment horizontal="center" vertical="center"/>
      <protection/>
    </xf>
    <xf numFmtId="174" fontId="4" fillId="0" borderId="35" xfId="551" applyNumberFormat="1" applyFont="1" applyFill="1" applyBorder="1" applyAlignment="1">
      <alignment horizontal="center" vertical="center"/>
    </xf>
    <xf numFmtId="174" fontId="69" fillId="0" borderId="0" xfId="551" applyNumberFormat="1" applyFont="1" applyBorder="1" applyAlignment="1">
      <alignment horizontal="center" vertical="center"/>
    </xf>
    <xf numFmtId="174" fontId="5" fillId="0" borderId="0" xfId="551" applyNumberFormat="1" applyFont="1" applyFill="1" applyBorder="1" applyAlignment="1">
      <alignment horizontal="center" vertical="center"/>
    </xf>
    <xf numFmtId="174" fontId="69" fillId="0" borderId="35" xfId="551" applyNumberFormat="1" applyFont="1" applyBorder="1" applyAlignment="1">
      <alignment horizontal="center" vertical="center"/>
    </xf>
    <xf numFmtId="174" fontId="4" fillId="0" borderId="35" xfId="551" applyNumberFormat="1" applyFont="1" applyBorder="1" applyAlignment="1">
      <alignment horizontal="center" vertical="center"/>
    </xf>
    <xf numFmtId="174" fontId="5" fillId="0" borderId="90" xfId="551" applyNumberFormat="1" applyFont="1" applyFill="1" applyBorder="1" applyAlignment="1" applyProtection="1">
      <alignment horizontal="center" vertical="center"/>
      <protection/>
    </xf>
    <xf numFmtId="3" fontId="5" fillId="0" borderId="91" xfId="0" applyNumberFormat="1" applyFont="1" applyBorder="1" applyAlignment="1">
      <alignment horizontal="left" vertical="center"/>
    </xf>
    <xf numFmtId="14" fontId="5" fillId="0" borderId="73" xfId="0" applyNumberFormat="1" applyFont="1" applyBorder="1" applyAlignment="1">
      <alignment horizontal="right" vertical="center"/>
    </xf>
    <xf numFmtId="1" fontId="5" fillId="0" borderId="73" xfId="0" applyNumberFormat="1" applyFont="1" applyBorder="1" applyAlignment="1">
      <alignment horizontal="center" vertical="center"/>
    </xf>
    <xf numFmtId="41" fontId="5" fillId="0" borderId="73" xfId="50" applyFont="1" applyFill="1" applyBorder="1" applyAlignment="1" applyProtection="1">
      <alignment horizontal="right" vertical="center"/>
      <protection/>
    </xf>
    <xf numFmtId="41" fontId="68" fillId="0" borderId="92" xfId="50" applyFont="1" applyBorder="1" applyAlignment="1">
      <alignment horizontal="right" vertical="center"/>
    </xf>
    <xf numFmtId="0" fontId="4" fillId="0" borderId="65" xfId="0" applyFont="1" applyBorder="1" applyAlignment="1">
      <alignment horizontal="center" vertical="center"/>
    </xf>
    <xf numFmtId="0" fontId="4" fillId="0" borderId="90" xfId="0" applyFont="1" applyBorder="1" applyAlignment="1">
      <alignment vertical="center"/>
    </xf>
    <xf numFmtId="0" fontId="4" fillId="0" borderId="90" xfId="0" applyFont="1" applyBorder="1" applyAlignment="1">
      <alignment horizontal="center" vertical="center"/>
    </xf>
    <xf numFmtId="41" fontId="4" fillId="0" borderId="90" xfId="50" applyFont="1" applyFill="1" applyBorder="1" applyAlignment="1">
      <alignment horizontal="right" vertical="center"/>
    </xf>
    <xf numFmtId="41" fontId="4" fillId="0" borderId="89" xfId="50" applyFont="1" applyFill="1" applyBorder="1" applyAlignment="1">
      <alignment horizontal="right" vertical="center"/>
    </xf>
    <xf numFmtId="0" fontId="5" fillId="0" borderId="76" xfId="0" applyFont="1" applyBorder="1" applyAlignment="1">
      <alignment vertical="center"/>
    </xf>
    <xf numFmtId="14" fontId="5" fillId="0" borderId="46" xfId="0" applyNumberFormat="1" applyFont="1" applyBorder="1" applyAlignment="1">
      <alignment horizontal="right" vertical="center"/>
    </xf>
    <xf numFmtId="1" fontId="5" fillId="0" borderId="46" xfId="0" applyNumberFormat="1" applyFont="1" applyBorder="1" applyAlignment="1">
      <alignment horizontal="center" vertical="center"/>
    </xf>
    <xf numFmtId="41" fontId="5" fillId="0" borderId="46" xfId="50" applyFont="1" applyFill="1" applyBorder="1" applyAlignment="1" applyProtection="1">
      <alignment horizontal="right" vertical="center"/>
      <protection/>
    </xf>
    <xf numFmtId="41" fontId="75" fillId="0" borderId="46" xfId="50" applyFont="1" applyFill="1" applyBorder="1" applyAlignment="1" applyProtection="1">
      <alignment horizontal="right" vertical="center"/>
      <protection/>
    </xf>
    <xf numFmtId="41" fontId="68" fillId="0" borderId="47" xfId="50" applyFont="1" applyBorder="1" applyAlignment="1">
      <alignment horizontal="right" vertical="center"/>
    </xf>
    <xf numFmtId="41" fontId="68" fillId="0" borderId="64" xfId="50" applyFont="1" applyFill="1" applyBorder="1" applyAlignment="1">
      <alignment horizontal="right" vertical="center"/>
    </xf>
    <xf numFmtId="0" fontId="5" fillId="0" borderId="91" xfId="0" applyFont="1" applyBorder="1" applyAlignment="1">
      <alignment vertical="center"/>
    </xf>
    <xf numFmtId="41" fontId="68" fillId="0" borderId="73" xfId="50" applyFont="1" applyBorder="1" applyAlignment="1">
      <alignment horizontal="right" vertical="center"/>
    </xf>
    <xf numFmtId="41" fontId="4" fillId="0" borderId="90" xfId="50" applyFont="1" applyFill="1" applyBorder="1" applyAlignment="1" applyProtection="1">
      <alignment horizontal="right" vertical="center"/>
      <protection/>
    </xf>
    <xf numFmtId="41" fontId="69" fillId="0" borderId="89" xfId="50" applyFont="1" applyBorder="1" applyAlignment="1">
      <alignment horizontal="right" vertical="center"/>
    </xf>
    <xf numFmtId="172" fontId="5" fillId="0" borderId="66" xfId="531" applyFont="1" applyBorder="1" applyAlignment="1">
      <alignment horizontal="right"/>
    </xf>
    <xf numFmtId="10" fontId="5" fillId="0" borderId="66" xfId="551" applyNumberFormat="1" applyFont="1" applyBorder="1" applyAlignment="1">
      <alignment horizontal="right"/>
    </xf>
    <xf numFmtId="189" fontId="5" fillId="0" borderId="66" xfId="531" applyNumberFormat="1" applyFont="1" applyBorder="1" applyAlignment="1">
      <alignment horizontal="right"/>
    </xf>
    <xf numFmtId="41" fontId="69" fillId="0" borderId="0" xfId="0" applyNumberFormat="1" applyFont="1" applyAlignment="1">
      <alignment vertical="center"/>
    </xf>
    <xf numFmtId="0" fontId="4" fillId="0" borderId="0" xfId="539" applyFont="1" applyAlignment="1">
      <alignment horizontal="center"/>
      <protection/>
    </xf>
    <xf numFmtId="10" fontId="4" fillId="0" borderId="0" xfId="551" applyNumberFormat="1" applyFont="1" applyFill="1" applyAlignment="1">
      <alignment/>
    </xf>
    <xf numFmtId="171" fontId="4" fillId="0" borderId="0" xfId="49" applyFont="1" applyFill="1" applyAlignment="1">
      <alignment/>
    </xf>
    <xf numFmtId="180" fontId="4" fillId="0" borderId="0" xfId="49" applyNumberFormat="1" applyFont="1" applyFill="1" applyAlignment="1">
      <alignment/>
    </xf>
    <xf numFmtId="10" fontId="4" fillId="0" borderId="0" xfId="551" applyNumberFormat="1" applyFont="1" applyFill="1" applyAlignment="1">
      <alignment horizontal="center"/>
    </xf>
    <xf numFmtId="171" fontId="4" fillId="0" borderId="0" xfId="49" applyFont="1" applyFill="1" applyAlignment="1">
      <alignment horizontal="center"/>
    </xf>
    <xf numFmtId="180" fontId="4" fillId="0" borderId="0" xfId="49" applyNumberFormat="1" applyFont="1" applyFill="1" applyAlignment="1">
      <alignment horizontal="center"/>
    </xf>
    <xf numFmtId="0" fontId="4" fillId="0" borderId="67" xfId="539" applyFont="1" applyBorder="1" applyAlignment="1">
      <alignment horizontal="center"/>
      <protection/>
    </xf>
    <xf numFmtId="186" fontId="4" fillId="0" borderId="67" xfId="51" applyNumberFormat="1" applyFont="1" applyBorder="1" applyAlignment="1">
      <alignment horizontal="center"/>
    </xf>
    <xf numFmtId="180" fontId="4" fillId="0" borderId="67" xfId="49" applyNumberFormat="1" applyFont="1" applyBorder="1" applyAlignment="1">
      <alignment horizontal="center"/>
    </xf>
    <xf numFmtId="41" fontId="4" fillId="0" borderId="67" xfId="50" applyFont="1" applyBorder="1" applyAlignment="1">
      <alignment horizontal="center"/>
    </xf>
    <xf numFmtId="180" fontId="4" fillId="0" borderId="67" xfId="551" applyNumberFormat="1" applyFont="1" applyBorder="1" applyAlignment="1">
      <alignment horizontal="center"/>
    </xf>
    <xf numFmtId="0" fontId="4" fillId="0" borderId="67" xfId="539" applyFont="1" applyBorder="1">
      <alignment/>
      <protection/>
    </xf>
    <xf numFmtId="186" fontId="4" fillId="0" borderId="67" xfId="51" applyNumberFormat="1" applyFont="1" applyBorder="1" applyAlignment="1">
      <alignment/>
    </xf>
    <xf numFmtId="180" fontId="4" fillId="0" borderId="67" xfId="49" applyNumberFormat="1" applyFont="1" applyBorder="1" applyAlignment="1">
      <alignment/>
    </xf>
    <xf numFmtId="180" fontId="4" fillId="0" borderId="67" xfId="539" applyNumberFormat="1" applyFont="1" applyBorder="1">
      <alignment/>
      <protection/>
    </xf>
    <xf numFmtId="10" fontId="4" fillId="0" borderId="67" xfId="551" applyNumberFormat="1" applyFont="1" applyBorder="1" applyAlignment="1">
      <alignment horizontal="center"/>
    </xf>
    <xf numFmtId="186" fontId="5" fillId="0" borderId="67" xfId="51" applyNumberFormat="1" applyFont="1" applyBorder="1" applyAlignment="1">
      <alignment/>
    </xf>
    <xf numFmtId="180" fontId="5" fillId="0" borderId="67" xfId="49" applyNumberFormat="1" applyFont="1" applyBorder="1" applyAlignment="1">
      <alignment/>
    </xf>
    <xf numFmtId="10" fontId="5" fillId="0" borderId="67" xfId="551" applyNumberFormat="1" applyFont="1" applyBorder="1" applyAlignment="1">
      <alignment horizontal="center"/>
    </xf>
    <xf numFmtId="41" fontId="4" fillId="0" borderId="67" xfId="50" applyFont="1" applyBorder="1" applyAlignment="1">
      <alignment/>
    </xf>
    <xf numFmtId="10" fontId="4" fillId="33" borderId="93" xfId="551" applyNumberFormat="1" applyFont="1" applyFill="1" applyBorder="1" applyAlignment="1">
      <alignment horizontal="center"/>
    </xf>
    <xf numFmtId="10" fontId="5" fillId="0" borderId="53" xfId="551" applyNumberFormat="1" applyFont="1" applyBorder="1" applyAlignment="1">
      <alignment horizontal="center"/>
    </xf>
    <xf numFmtId="10" fontId="4" fillId="33" borderId="53" xfId="551" applyNumberFormat="1" applyFont="1" applyFill="1" applyBorder="1" applyAlignment="1">
      <alignment horizontal="center"/>
    </xf>
    <xf numFmtId="10" fontId="4" fillId="0" borderId="48" xfId="551" applyNumberFormat="1" applyFont="1" applyBorder="1" applyAlignment="1">
      <alignment horizontal="center"/>
    </xf>
    <xf numFmtId="180" fontId="5" fillId="0" borderId="23" xfId="49" applyNumberFormat="1" applyFont="1" applyBorder="1" applyAlignment="1">
      <alignment/>
    </xf>
    <xf numFmtId="171" fontId="5" fillId="0" borderId="0" xfId="49" applyFont="1" applyAlignment="1">
      <alignment horizontal="center"/>
    </xf>
    <xf numFmtId="171" fontId="4" fillId="0" borderId="0" xfId="49" applyFont="1" applyAlignment="1">
      <alignment horizontal="center"/>
    </xf>
    <xf numFmtId="171" fontId="4" fillId="33" borderId="16" xfId="49" applyFont="1" applyFill="1" applyBorder="1" applyAlignment="1">
      <alignment/>
    </xf>
    <xf numFmtId="171" fontId="5" fillId="0" borderId="19" xfId="49" applyFont="1" applyBorder="1" applyAlignment="1">
      <alignment horizontal="left" indent="1"/>
    </xf>
    <xf numFmtId="171" fontId="4" fillId="33" borderId="19" xfId="49" applyFont="1" applyFill="1" applyBorder="1" applyAlignment="1">
      <alignment/>
    </xf>
    <xf numFmtId="171" fontId="4" fillId="33" borderId="19" xfId="49" applyFont="1" applyFill="1" applyBorder="1" applyAlignment="1">
      <alignment horizontal="centerContinuous"/>
    </xf>
    <xf numFmtId="171" fontId="4" fillId="33" borderId="19" xfId="49" applyFont="1" applyFill="1" applyBorder="1" applyAlignment="1">
      <alignment horizontal="left"/>
    </xf>
    <xf numFmtId="171" fontId="4" fillId="33" borderId="19" xfId="49" applyFont="1" applyFill="1" applyBorder="1" applyAlignment="1">
      <alignment horizontal="left" indent="1"/>
    </xf>
    <xf numFmtId="171" fontId="5" fillId="0" borderId="19" xfId="49" applyFont="1" applyBorder="1" applyAlignment="1">
      <alignment horizontal="left" indent="2"/>
    </xf>
    <xf numFmtId="171" fontId="5" fillId="0" borderId="19" xfId="49" applyFont="1" applyBorder="1" applyAlignment="1">
      <alignment horizontal="left" vertical="justify" wrapText="1" indent="2"/>
    </xf>
    <xf numFmtId="171" fontId="5" fillId="0" borderId="22" xfId="49" applyFont="1" applyBorder="1" applyAlignment="1">
      <alignment horizontal="left" indent="2"/>
    </xf>
    <xf numFmtId="171" fontId="4" fillId="33" borderId="24" xfId="49" applyFont="1" applyFill="1" applyBorder="1" applyAlignment="1">
      <alignment horizontal="left" indent="1"/>
    </xf>
    <xf numFmtId="171" fontId="5" fillId="0" borderId="16" xfId="49" applyFont="1" applyBorder="1" applyAlignment="1">
      <alignment horizontal="left" indent="2"/>
    </xf>
    <xf numFmtId="171" fontId="77" fillId="0" borderId="0" xfId="49" applyFont="1" applyAlignment="1">
      <alignment/>
    </xf>
    <xf numFmtId="171" fontId="4" fillId="33" borderId="19" xfId="49" applyFont="1" applyFill="1" applyBorder="1" applyAlignment="1">
      <alignment horizontal="left" indent="2"/>
    </xf>
    <xf numFmtId="171" fontId="4" fillId="33" borderId="27" xfId="49" applyFont="1" applyFill="1" applyBorder="1" applyAlignment="1">
      <alignment/>
    </xf>
    <xf numFmtId="171" fontId="4" fillId="33" borderId="28" xfId="49" applyFont="1" applyFill="1" applyBorder="1" applyAlignment="1">
      <alignment/>
    </xf>
    <xf numFmtId="171" fontId="4" fillId="0" borderId="0" xfId="49" applyFont="1" applyAlignment="1">
      <alignment/>
    </xf>
    <xf numFmtId="180" fontId="4" fillId="0" borderId="27" xfId="49" applyNumberFormat="1" applyFont="1" applyFill="1" applyBorder="1" applyAlignment="1">
      <alignment horizontal="center" vertical="center"/>
    </xf>
    <xf numFmtId="180" fontId="4" fillId="0" borderId="28" xfId="49" applyNumberFormat="1" applyFont="1" applyFill="1" applyBorder="1" applyAlignment="1">
      <alignment horizontal="center" vertical="center" wrapText="1"/>
    </xf>
    <xf numFmtId="180" fontId="4" fillId="33" borderId="27" xfId="49" applyNumberFormat="1" applyFont="1" applyFill="1" applyBorder="1" applyAlignment="1">
      <alignment/>
    </xf>
    <xf numFmtId="180" fontId="5" fillId="0" borderId="19" xfId="49" applyNumberFormat="1" applyFont="1" applyFill="1" applyBorder="1" applyAlignment="1">
      <alignment/>
    </xf>
    <xf numFmtId="180" fontId="4" fillId="33" borderId="19" xfId="49" applyNumberFormat="1" applyFont="1" applyFill="1" applyBorder="1" applyAlignment="1">
      <alignment/>
    </xf>
    <xf numFmtId="180" fontId="5" fillId="34" borderId="19" xfId="49" applyNumberFormat="1" applyFont="1" applyFill="1" applyBorder="1" applyAlignment="1">
      <alignment/>
    </xf>
    <xf numFmtId="180" fontId="5" fillId="0" borderId="19" xfId="49" applyNumberFormat="1" applyFont="1" applyBorder="1" applyAlignment="1">
      <alignment/>
    </xf>
    <xf numFmtId="180" fontId="4" fillId="33" borderId="19" xfId="49" applyNumberFormat="1" applyFont="1" applyFill="1" applyBorder="1" applyAlignment="1">
      <alignment/>
    </xf>
    <xf numFmtId="180" fontId="5" fillId="0" borderId="19" xfId="49" applyNumberFormat="1" applyFont="1" applyFill="1" applyBorder="1" applyAlignment="1">
      <alignment/>
    </xf>
    <xf numFmtId="180" fontId="5" fillId="0" borderId="22" xfId="49" applyNumberFormat="1" applyFont="1" applyBorder="1" applyAlignment="1">
      <alignment/>
    </xf>
    <xf numFmtId="180" fontId="4" fillId="33" borderId="24" xfId="49" applyNumberFormat="1" applyFont="1" applyFill="1" applyBorder="1" applyAlignment="1">
      <alignment/>
    </xf>
    <xf numFmtId="180" fontId="5" fillId="0" borderId="16" xfId="49" applyNumberFormat="1" applyFont="1" applyBorder="1" applyAlignment="1">
      <alignment/>
    </xf>
    <xf numFmtId="180" fontId="5" fillId="34" borderId="19" xfId="49" applyNumberFormat="1" applyFont="1" applyFill="1" applyBorder="1" applyAlignment="1">
      <alignment/>
    </xf>
    <xf numFmtId="180" fontId="4" fillId="33" borderId="27" xfId="49" applyNumberFormat="1" applyFont="1" applyFill="1" applyBorder="1" applyAlignment="1">
      <alignment/>
    </xf>
    <xf numFmtId="180" fontId="4" fillId="33" borderId="28" xfId="49" applyNumberFormat="1" applyFont="1" applyFill="1" applyBorder="1" applyAlignment="1">
      <alignment/>
    </xf>
    <xf numFmtId="180" fontId="5" fillId="0" borderId="79" xfId="49" applyNumberFormat="1" applyFont="1" applyBorder="1" applyAlignment="1">
      <alignment/>
    </xf>
    <xf numFmtId="180" fontId="4" fillId="33" borderId="10" xfId="49" applyNumberFormat="1" applyFont="1" applyFill="1" applyBorder="1" applyAlignment="1">
      <alignment/>
    </xf>
    <xf numFmtId="180" fontId="4" fillId="0" borderId="94" xfId="49" applyNumberFormat="1" applyFont="1" applyFill="1" applyBorder="1" applyAlignment="1">
      <alignment horizontal="center" vertical="center"/>
    </xf>
    <xf numFmtId="180" fontId="4" fillId="0" borderId="95" xfId="49" applyNumberFormat="1" applyFont="1" applyFill="1" applyBorder="1" applyAlignment="1">
      <alignment horizontal="center" vertical="center" wrapText="1"/>
    </xf>
    <xf numFmtId="180" fontId="4" fillId="33" borderId="11" xfId="49" applyNumberFormat="1" applyFont="1" applyFill="1" applyBorder="1" applyAlignment="1">
      <alignment/>
    </xf>
    <xf numFmtId="180" fontId="5" fillId="34" borderId="21" xfId="49" applyNumberFormat="1" applyFont="1" applyFill="1" applyBorder="1" applyAlignment="1">
      <alignment/>
    </xf>
    <xf numFmtId="180" fontId="5" fillId="0" borderId="96" xfId="49" applyNumberFormat="1" applyFont="1" applyBorder="1" applyAlignment="1">
      <alignment/>
    </xf>
    <xf numFmtId="180" fontId="5" fillId="0" borderId="18" xfId="49" applyNumberFormat="1" applyFont="1" applyBorder="1" applyAlignment="1">
      <alignment/>
    </xf>
    <xf numFmtId="180" fontId="5" fillId="34" borderId="21" xfId="49" applyNumberFormat="1" applyFont="1" applyFill="1" applyBorder="1" applyAlignment="1">
      <alignment/>
    </xf>
    <xf numFmtId="180" fontId="4" fillId="0" borderId="12" xfId="49" applyNumberFormat="1" applyFont="1" applyFill="1" applyBorder="1" applyAlignment="1">
      <alignment horizontal="center" vertical="center"/>
    </xf>
    <xf numFmtId="180" fontId="4" fillId="0" borderId="15" xfId="49" applyNumberFormat="1" applyFont="1" applyFill="1" applyBorder="1" applyAlignment="1">
      <alignment horizontal="center" vertical="center" wrapText="1"/>
    </xf>
    <xf numFmtId="180" fontId="4" fillId="33" borderId="29" xfId="49" applyNumberFormat="1" applyFont="1" applyFill="1" applyBorder="1" applyAlignment="1">
      <alignment/>
    </xf>
    <xf numFmtId="180" fontId="5" fillId="0" borderId="31" xfId="49" applyNumberFormat="1" applyFont="1" applyFill="1" applyBorder="1" applyAlignment="1">
      <alignment/>
    </xf>
    <xf numFmtId="180" fontId="4" fillId="33" borderId="31" xfId="49" applyNumberFormat="1" applyFont="1" applyFill="1" applyBorder="1" applyAlignment="1">
      <alignment/>
    </xf>
    <xf numFmtId="180" fontId="5" fillId="34" borderId="31" xfId="49" applyNumberFormat="1" applyFont="1" applyFill="1" applyBorder="1" applyAlignment="1">
      <alignment/>
    </xf>
    <xf numFmtId="180" fontId="5" fillId="0" borderId="31" xfId="49" applyNumberFormat="1" applyFont="1" applyBorder="1" applyAlignment="1">
      <alignment/>
    </xf>
    <xf numFmtId="180" fontId="4" fillId="33" borderId="31" xfId="49" applyNumberFormat="1" applyFont="1" applyFill="1" applyBorder="1" applyAlignment="1">
      <alignment/>
    </xf>
    <xf numFmtId="180" fontId="5" fillId="0" borderId="31" xfId="49" applyNumberFormat="1" applyFont="1" applyFill="1" applyBorder="1" applyAlignment="1">
      <alignment/>
    </xf>
    <xf numFmtId="180" fontId="5" fillId="0" borderId="32" xfId="49" applyNumberFormat="1" applyFont="1" applyBorder="1" applyAlignment="1">
      <alignment/>
    </xf>
    <xf numFmtId="180" fontId="4" fillId="33" borderId="33" xfId="49" applyNumberFormat="1" applyFont="1" applyFill="1" applyBorder="1" applyAlignment="1">
      <alignment/>
    </xf>
    <xf numFmtId="180" fontId="5" fillId="0" borderId="29" xfId="49" applyNumberFormat="1" applyFont="1" applyBorder="1" applyAlignment="1">
      <alignment/>
    </xf>
    <xf numFmtId="180" fontId="5" fillId="34" borderId="31" xfId="49" applyNumberFormat="1" applyFont="1" applyFill="1" applyBorder="1" applyAlignment="1">
      <alignment/>
    </xf>
    <xf numFmtId="180" fontId="4" fillId="33" borderId="12" xfId="49" applyNumberFormat="1" applyFont="1" applyFill="1" applyBorder="1" applyAlignment="1">
      <alignment/>
    </xf>
    <xf numFmtId="180" fontId="4" fillId="33" borderId="15" xfId="49" applyNumberFormat="1" applyFont="1" applyFill="1" applyBorder="1" applyAlignment="1">
      <alignment/>
    </xf>
    <xf numFmtId="180" fontId="4" fillId="0" borderId="97" xfId="49" applyNumberFormat="1" applyFont="1" applyFill="1" applyBorder="1" applyAlignment="1">
      <alignment horizontal="center" vertical="center"/>
    </xf>
    <xf numFmtId="180" fontId="4" fillId="0" borderId="98" xfId="49" applyNumberFormat="1" applyFont="1" applyFill="1" applyBorder="1" applyAlignment="1">
      <alignment horizontal="center" vertical="center" wrapText="1"/>
    </xf>
    <xf numFmtId="180" fontId="4" fillId="33" borderId="99" xfId="49" applyNumberFormat="1" applyFont="1" applyFill="1" applyBorder="1" applyAlignment="1">
      <alignment/>
    </xf>
    <xf numFmtId="180" fontId="5" fillId="0" borderId="30" xfId="49" applyNumberFormat="1" applyFont="1" applyFill="1" applyBorder="1" applyAlignment="1">
      <alignment/>
    </xf>
    <xf numFmtId="180" fontId="4" fillId="33" borderId="30" xfId="49" applyNumberFormat="1" applyFont="1" applyFill="1" applyBorder="1" applyAlignment="1">
      <alignment/>
    </xf>
    <xf numFmtId="180" fontId="5" fillId="34" borderId="30" xfId="49" applyNumberFormat="1" applyFont="1" applyFill="1" applyBorder="1" applyAlignment="1">
      <alignment/>
    </xf>
    <xf numFmtId="180" fontId="5" fillId="0" borderId="30" xfId="49" applyNumberFormat="1" applyFont="1" applyFill="1" applyBorder="1" applyAlignment="1">
      <alignment/>
    </xf>
    <xf numFmtId="180" fontId="4" fillId="33" borderId="30" xfId="49" applyNumberFormat="1" applyFont="1" applyFill="1" applyBorder="1" applyAlignment="1">
      <alignment/>
    </xf>
    <xf numFmtId="180" fontId="5" fillId="0" borderId="30" xfId="49" applyNumberFormat="1" applyFont="1" applyBorder="1" applyAlignment="1">
      <alignment/>
    </xf>
    <xf numFmtId="180" fontId="5" fillId="0" borderId="100" xfId="49" applyNumberFormat="1" applyFont="1" applyBorder="1" applyAlignment="1">
      <alignment/>
    </xf>
    <xf numFmtId="180" fontId="4" fillId="33" borderId="48" xfId="49" applyNumberFormat="1" applyFont="1" applyFill="1" applyBorder="1" applyAlignment="1">
      <alignment/>
    </xf>
    <xf numFmtId="180" fontId="5" fillId="0" borderId="99" xfId="49" applyNumberFormat="1" applyFont="1" applyFill="1" applyBorder="1" applyAlignment="1">
      <alignment/>
    </xf>
    <xf numFmtId="180" fontId="5" fillId="34" borderId="30" xfId="49" applyNumberFormat="1" applyFont="1" applyFill="1" applyBorder="1" applyAlignment="1">
      <alignment/>
    </xf>
    <xf numFmtId="180" fontId="4" fillId="33" borderId="97" xfId="49" applyNumberFormat="1" applyFont="1" applyFill="1" applyBorder="1" applyAlignment="1">
      <alignment/>
    </xf>
    <xf numFmtId="180" fontId="4" fillId="33" borderId="98" xfId="49" applyNumberFormat="1" applyFont="1" applyFill="1" applyBorder="1" applyAlignment="1">
      <alignment/>
    </xf>
    <xf numFmtId="171" fontId="5" fillId="0" borderId="0" xfId="49" applyNumberFormat="1" applyFont="1" applyAlignment="1">
      <alignment/>
    </xf>
    <xf numFmtId="171" fontId="5" fillId="0" borderId="21" xfId="49" applyNumberFormat="1" applyFont="1" applyFill="1" applyBorder="1" applyAlignment="1">
      <alignment/>
    </xf>
    <xf numFmtId="171" fontId="5" fillId="0" borderId="21" xfId="49" applyNumberFormat="1" applyFont="1" applyBorder="1" applyAlignment="1">
      <alignment/>
    </xf>
    <xf numFmtId="173" fontId="5" fillId="0" borderId="0" xfId="551" applyNumberFormat="1" applyFont="1" applyAlignment="1">
      <alignment/>
    </xf>
    <xf numFmtId="0" fontId="4" fillId="0" borderId="101" xfId="539" applyFont="1" applyBorder="1" applyAlignment="1">
      <alignment horizontal="center" vertical="center"/>
      <protection/>
    </xf>
    <xf numFmtId="0" fontId="4" fillId="0" borderId="102" xfId="539" applyFont="1" applyBorder="1" applyAlignment="1">
      <alignment horizontal="center" vertical="center"/>
      <protection/>
    </xf>
    <xf numFmtId="0" fontId="4" fillId="0" borderId="0" xfId="539" applyFont="1" applyAlignment="1">
      <alignment horizontal="center"/>
      <protection/>
    </xf>
    <xf numFmtId="171" fontId="4" fillId="0" borderId="0" xfId="49" applyFont="1" applyBorder="1" applyAlignment="1">
      <alignment horizontal="center"/>
    </xf>
    <xf numFmtId="180" fontId="4" fillId="0" borderId="0" xfId="49" applyNumberFormat="1" applyFont="1" applyAlignment="1">
      <alignment horizontal="center" vertical="center"/>
    </xf>
    <xf numFmtId="41" fontId="4" fillId="0" borderId="49" xfId="50" applyFont="1" applyBorder="1" applyAlignment="1">
      <alignment horizontal="center" vertical="center" wrapText="1"/>
    </xf>
    <xf numFmtId="41" fontId="4" fillId="0" borderId="69" xfId="50" applyFont="1" applyBorder="1" applyAlignment="1">
      <alignment horizontal="center" vertical="center" wrapText="1"/>
    </xf>
    <xf numFmtId="180" fontId="4" fillId="0" borderId="49" xfId="49" applyNumberFormat="1" applyFont="1" applyBorder="1" applyAlignment="1">
      <alignment horizontal="center" vertical="center"/>
    </xf>
    <xf numFmtId="180" fontId="4" fillId="0" borderId="69" xfId="49" applyNumberFormat="1" applyFont="1" applyBorder="1" applyAlignment="1">
      <alignment horizontal="center" vertical="center"/>
    </xf>
    <xf numFmtId="180" fontId="4" fillId="0" borderId="0" xfId="49" applyNumberFormat="1" applyFont="1" applyBorder="1" applyAlignment="1">
      <alignment horizontal="center" vertical="center"/>
    </xf>
    <xf numFmtId="41" fontId="4" fillId="0" borderId="71" xfId="50" applyFont="1" applyBorder="1" applyAlignment="1">
      <alignment horizontal="center" vertical="center"/>
    </xf>
    <xf numFmtId="41" fontId="4" fillId="0" borderId="65" xfId="50" applyFont="1" applyBorder="1" applyAlignment="1">
      <alignment horizontal="center" vertical="center" wrapText="1"/>
    </xf>
    <xf numFmtId="41" fontId="4" fillId="0" borderId="75" xfId="50" applyFont="1" applyBorder="1" applyAlignment="1">
      <alignment horizontal="center" vertical="center" wrapText="1"/>
    </xf>
    <xf numFmtId="0" fontId="4" fillId="0" borderId="0" xfId="543" applyFont="1" applyAlignment="1">
      <alignment horizontal="center"/>
      <protection/>
    </xf>
    <xf numFmtId="41" fontId="69" fillId="0" borderId="0" xfId="51" applyFont="1" applyAlignment="1">
      <alignment horizontal="center"/>
    </xf>
    <xf numFmtId="0" fontId="72" fillId="37" borderId="66" xfId="0" applyFont="1" applyFill="1" applyBorder="1" applyAlignment="1">
      <alignment horizontal="center" vertical="center" wrapText="1" readingOrder="1"/>
    </xf>
    <xf numFmtId="2" fontId="72" fillId="37" borderId="67" xfId="140" applyNumberFormat="1" applyFont="1" applyFill="1" applyBorder="1" applyAlignment="1">
      <alignment horizontal="center" vertical="center" wrapText="1"/>
    </xf>
    <xf numFmtId="0" fontId="65" fillId="0" borderId="56" xfId="0" applyFont="1" applyBorder="1" applyAlignment="1">
      <alignment horizontal="center" vertical="center" wrapText="1"/>
    </xf>
    <xf numFmtId="0" fontId="65" fillId="0" borderId="71" xfId="0" applyFont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 wrapText="1"/>
    </xf>
    <xf numFmtId="10" fontId="64" fillId="0" borderId="62" xfId="551" applyNumberFormat="1" applyFont="1" applyBorder="1" applyAlignment="1">
      <alignment horizontal="center" vertical="center" wrapText="1"/>
    </xf>
    <xf numFmtId="10" fontId="64" fillId="0" borderId="72" xfId="551" applyNumberFormat="1" applyFont="1" applyBorder="1" applyAlignment="1">
      <alignment horizontal="center" vertical="center" wrapText="1"/>
    </xf>
    <xf numFmtId="10" fontId="64" fillId="0" borderId="42" xfId="551" applyNumberFormat="1" applyFont="1" applyBorder="1" applyAlignment="1">
      <alignment horizontal="center" vertical="center" wrapText="1"/>
    </xf>
    <xf numFmtId="10" fontId="64" fillId="0" borderId="38" xfId="551" applyNumberFormat="1" applyFont="1" applyBorder="1" applyAlignment="1">
      <alignment horizontal="center" vertical="center" wrapText="1"/>
    </xf>
    <xf numFmtId="0" fontId="64" fillId="0" borderId="76" xfId="0" applyFont="1" applyBorder="1" applyAlignment="1">
      <alignment horizontal="center" vertical="center" wrapText="1"/>
    </xf>
    <xf numFmtId="0" fontId="64" fillId="0" borderId="72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9" fontId="4" fillId="39" borderId="70" xfId="50" applyNumberFormat="1" applyFont="1" applyFill="1" applyBorder="1" applyAlignment="1">
      <alignment horizontal="center" vertical="center" wrapText="1"/>
    </xf>
    <xf numFmtId="49" fontId="4" fillId="39" borderId="60" xfId="5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1" fontId="4" fillId="0" borderId="87" xfId="49" applyFont="1" applyBorder="1" applyAlignment="1">
      <alignment horizontal="center"/>
    </xf>
    <xf numFmtId="171" fontId="4" fillId="0" borderId="0" xfId="49" applyFont="1" applyAlignment="1">
      <alignment horizontal="center"/>
    </xf>
    <xf numFmtId="171" fontId="4" fillId="0" borderId="101" xfId="49" applyFont="1" applyBorder="1" applyAlignment="1">
      <alignment horizontal="center" vertical="center"/>
    </xf>
    <xf numFmtId="171" fontId="4" fillId="0" borderId="102" xfId="49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5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2 2" xfId="52"/>
    <cellStyle name="Millares [0] 2 2 2" xfId="53"/>
    <cellStyle name="Millares [0] 2 3" xfId="54"/>
    <cellStyle name="Millares [0] 3" xfId="55"/>
    <cellStyle name="Millares [0] 3 2" xfId="56"/>
    <cellStyle name="Millares [0] 4" xfId="57"/>
    <cellStyle name="Millares [0] 5" xfId="58"/>
    <cellStyle name="Millares [0] 6" xfId="59"/>
    <cellStyle name="Millares 10" xfId="60"/>
    <cellStyle name="Millares 10 2" xfId="61"/>
    <cellStyle name="Millares 10 2 2" xfId="62"/>
    <cellStyle name="Millares 10 3" xfId="63"/>
    <cellStyle name="Millares 10 3 2" xfId="64"/>
    <cellStyle name="Millares 10 4" xfId="65"/>
    <cellStyle name="Millares 10 4 2" xfId="66"/>
    <cellStyle name="Millares 10 5" xfId="67"/>
    <cellStyle name="Millares 11" xfId="68"/>
    <cellStyle name="Millares 11 2" xfId="69"/>
    <cellStyle name="Millares 11 2 2" xfId="70"/>
    <cellStyle name="Millares 11 3" xfId="71"/>
    <cellStyle name="Millares 11 3 2" xfId="72"/>
    <cellStyle name="Millares 11 4" xfId="73"/>
    <cellStyle name="Millares 11 4 2" xfId="74"/>
    <cellStyle name="Millares 11 5" xfId="75"/>
    <cellStyle name="Millares 12" xfId="76"/>
    <cellStyle name="Millares 12 2" xfId="77"/>
    <cellStyle name="Millares 12 2 2" xfId="78"/>
    <cellStyle name="Millares 12 3" xfId="79"/>
    <cellStyle name="Millares 12 3 2" xfId="80"/>
    <cellStyle name="Millares 12 4" xfId="81"/>
    <cellStyle name="Millares 12 4 2" xfId="82"/>
    <cellStyle name="Millares 12 5" xfId="83"/>
    <cellStyle name="Millares 13" xfId="84"/>
    <cellStyle name="Millares 13 2" xfId="85"/>
    <cellStyle name="Millares 13 2 2" xfId="86"/>
    <cellStyle name="Millares 13 3" xfId="87"/>
    <cellStyle name="Millares 13 3 2" xfId="88"/>
    <cellStyle name="Millares 13 4" xfId="89"/>
    <cellStyle name="Millares 13 4 2" xfId="90"/>
    <cellStyle name="Millares 13 5" xfId="91"/>
    <cellStyle name="Millares 14" xfId="92"/>
    <cellStyle name="Millares 14 2" xfId="93"/>
    <cellStyle name="Millares 14 2 2" xfId="94"/>
    <cellStyle name="Millares 14 3" xfId="95"/>
    <cellStyle name="Millares 14 3 2" xfId="96"/>
    <cellStyle name="Millares 14 4" xfId="97"/>
    <cellStyle name="Millares 14 4 2" xfId="98"/>
    <cellStyle name="Millares 14 5" xfId="99"/>
    <cellStyle name="Millares 15" xfId="100"/>
    <cellStyle name="Millares 15 2" xfId="101"/>
    <cellStyle name="Millares 15 2 2" xfId="102"/>
    <cellStyle name="Millares 15 3" xfId="103"/>
    <cellStyle name="Millares 15 3 2" xfId="104"/>
    <cellStyle name="Millares 15 4" xfId="105"/>
    <cellStyle name="Millares 15 4 2" xfId="106"/>
    <cellStyle name="Millares 15 5" xfId="107"/>
    <cellStyle name="Millares 16" xfId="108"/>
    <cellStyle name="Millares 16 2" xfId="109"/>
    <cellStyle name="Millares 16 2 2" xfId="110"/>
    <cellStyle name="Millares 16 3" xfId="111"/>
    <cellStyle name="Millares 16 3 2" xfId="112"/>
    <cellStyle name="Millares 16 4" xfId="113"/>
    <cellStyle name="Millares 16 4 2" xfId="114"/>
    <cellStyle name="Millares 16 5" xfId="115"/>
    <cellStyle name="Millares 17" xfId="116"/>
    <cellStyle name="Millares 17 2" xfId="117"/>
    <cellStyle name="Millares 17 2 2" xfId="118"/>
    <cellStyle name="Millares 17 3" xfId="119"/>
    <cellStyle name="Millares 17 3 2" xfId="120"/>
    <cellStyle name="Millares 17 4" xfId="121"/>
    <cellStyle name="Millares 17 4 2" xfId="122"/>
    <cellStyle name="Millares 17 5" xfId="123"/>
    <cellStyle name="Millares 18" xfId="124"/>
    <cellStyle name="Millares 18 2" xfId="125"/>
    <cellStyle name="Millares 18 2 2" xfId="126"/>
    <cellStyle name="Millares 18 3" xfId="127"/>
    <cellStyle name="Millares 18 3 2" xfId="128"/>
    <cellStyle name="Millares 18 4" xfId="129"/>
    <cellStyle name="Millares 18 4 2" xfId="130"/>
    <cellStyle name="Millares 18 5" xfId="131"/>
    <cellStyle name="Millares 19" xfId="132"/>
    <cellStyle name="Millares 19 2" xfId="133"/>
    <cellStyle name="Millares 19 2 2" xfId="134"/>
    <cellStyle name="Millares 19 3" xfId="135"/>
    <cellStyle name="Millares 19 3 2" xfId="136"/>
    <cellStyle name="Millares 19 4" xfId="137"/>
    <cellStyle name="Millares 19 4 2" xfId="138"/>
    <cellStyle name="Millares 19 5" xfId="139"/>
    <cellStyle name="Millares 2" xfId="140"/>
    <cellStyle name="Millares 2 2" xfId="141"/>
    <cellStyle name="Millares 2 2 2" xfId="142"/>
    <cellStyle name="Millares 2 2 2 2" xfId="143"/>
    <cellStyle name="Millares 2 2 2 2 2" xfId="144"/>
    <cellStyle name="Millares 2 2 2 3" xfId="145"/>
    <cellStyle name="Millares 2 2 2 3 2" xfId="146"/>
    <cellStyle name="Millares 2 2 2 4" xfId="147"/>
    <cellStyle name="Millares 2 2 2 4 2" xfId="148"/>
    <cellStyle name="Millares 2 2 2 5" xfId="149"/>
    <cellStyle name="Millares 2 2 3" xfId="150"/>
    <cellStyle name="Millares 2 2 4" xfId="151"/>
    <cellStyle name="Millares 2 2 5" xfId="152"/>
    <cellStyle name="Millares 2 3" xfId="153"/>
    <cellStyle name="Millares 2 3 2" xfId="154"/>
    <cellStyle name="Millares 2 3 2 2" xfId="155"/>
    <cellStyle name="Millares 2 3 3" xfId="156"/>
    <cellStyle name="Millares 2 3 3 2" xfId="157"/>
    <cellStyle name="Millares 2 3 4" xfId="158"/>
    <cellStyle name="Millares 2 3 4 2" xfId="159"/>
    <cellStyle name="Millares 2 3 5" xfId="160"/>
    <cellStyle name="Millares 2 4" xfId="161"/>
    <cellStyle name="Millares 2 4 2" xfId="162"/>
    <cellStyle name="Millares 2 4 3" xfId="163"/>
    <cellStyle name="Millares 2 5" xfId="164"/>
    <cellStyle name="Millares 20" xfId="165"/>
    <cellStyle name="Millares 20 2" xfId="166"/>
    <cellStyle name="Millares 20 2 2" xfId="167"/>
    <cellStyle name="Millares 20 3" xfId="168"/>
    <cellStyle name="Millares 20 3 2" xfId="169"/>
    <cellStyle name="Millares 20 4" xfId="170"/>
    <cellStyle name="Millares 20 4 2" xfId="171"/>
    <cellStyle name="Millares 20 5" xfId="172"/>
    <cellStyle name="Millares 21" xfId="173"/>
    <cellStyle name="Millares 21 2" xfId="174"/>
    <cellStyle name="Millares 21 2 2" xfId="175"/>
    <cellStyle name="Millares 21 3" xfId="176"/>
    <cellStyle name="Millares 21 3 2" xfId="177"/>
    <cellStyle name="Millares 21 4" xfId="178"/>
    <cellStyle name="Millares 21 4 2" xfId="179"/>
    <cellStyle name="Millares 21 5" xfId="180"/>
    <cellStyle name="Millares 22" xfId="181"/>
    <cellStyle name="Millares 22 2" xfId="182"/>
    <cellStyle name="Millares 22 2 2" xfId="183"/>
    <cellStyle name="Millares 22 3" xfId="184"/>
    <cellStyle name="Millares 22 3 2" xfId="185"/>
    <cellStyle name="Millares 22 4" xfId="186"/>
    <cellStyle name="Millares 22 4 2" xfId="187"/>
    <cellStyle name="Millares 22 5" xfId="188"/>
    <cellStyle name="Millares 23" xfId="189"/>
    <cellStyle name="Millares 23 2" xfId="190"/>
    <cellStyle name="Millares 23 2 2" xfId="191"/>
    <cellStyle name="Millares 23 3" xfId="192"/>
    <cellStyle name="Millares 23 3 2" xfId="193"/>
    <cellStyle name="Millares 23 4" xfId="194"/>
    <cellStyle name="Millares 23 4 2" xfId="195"/>
    <cellStyle name="Millares 23 5" xfId="196"/>
    <cellStyle name="Millares 24" xfId="197"/>
    <cellStyle name="Millares 24 2" xfId="198"/>
    <cellStyle name="Millares 25" xfId="199"/>
    <cellStyle name="Millares 25 2" xfId="200"/>
    <cellStyle name="Millares 26" xfId="201"/>
    <cellStyle name="Millares 26 2" xfId="202"/>
    <cellStyle name="Millares 27" xfId="203"/>
    <cellStyle name="Millares 27 2" xfId="204"/>
    <cellStyle name="Millares 28" xfId="205"/>
    <cellStyle name="Millares 28 2" xfId="206"/>
    <cellStyle name="Millares 29" xfId="207"/>
    <cellStyle name="Millares 29 2" xfId="208"/>
    <cellStyle name="Millares 3" xfId="209"/>
    <cellStyle name="Millares 3 2" xfId="210"/>
    <cellStyle name="Millares 30" xfId="211"/>
    <cellStyle name="Millares 30 2" xfId="212"/>
    <cellStyle name="Millares 31" xfId="213"/>
    <cellStyle name="Millares 31 2" xfId="214"/>
    <cellStyle name="Millares 32" xfId="215"/>
    <cellStyle name="Millares 32 2" xfId="216"/>
    <cellStyle name="Millares 33" xfId="217"/>
    <cellStyle name="Millares 33 2" xfId="218"/>
    <cellStyle name="Millares 34" xfId="219"/>
    <cellStyle name="Millares 34 2" xfId="220"/>
    <cellStyle name="Millares 35" xfId="221"/>
    <cellStyle name="Millares 35 2" xfId="222"/>
    <cellStyle name="Millares 36" xfId="223"/>
    <cellStyle name="Millares 36 2" xfId="224"/>
    <cellStyle name="Millares 37" xfId="225"/>
    <cellStyle name="Millares 37 2" xfId="226"/>
    <cellStyle name="Millares 38" xfId="227"/>
    <cellStyle name="Millares 38 2" xfId="228"/>
    <cellStyle name="Millares 38 3" xfId="229"/>
    <cellStyle name="Millares 39" xfId="230"/>
    <cellStyle name="Millares 4" xfId="231"/>
    <cellStyle name="Millares 4 2" xfId="232"/>
    <cellStyle name="Millares 4 2 2" xfId="233"/>
    <cellStyle name="Millares 4 2 2 2" xfId="234"/>
    <cellStyle name="Millares 4 2 2 2 2" xfId="235"/>
    <cellStyle name="Millares 4 2 2 3" xfId="236"/>
    <cellStyle name="Millares 4 2 2 3 2" xfId="237"/>
    <cellStyle name="Millares 4 2 2 4" xfId="238"/>
    <cellStyle name="Millares 4 2 2 4 2" xfId="239"/>
    <cellStyle name="Millares 4 2 2 5" xfId="240"/>
    <cellStyle name="Millares 4 2 3" xfId="241"/>
    <cellStyle name="Millares 4 2 3 2" xfId="242"/>
    <cellStyle name="Millares 4 2 3 2 2" xfId="243"/>
    <cellStyle name="Millares 4 2 3 3" xfId="244"/>
    <cellStyle name="Millares 4 2 3 3 2" xfId="245"/>
    <cellStyle name="Millares 4 2 3 4" xfId="246"/>
    <cellStyle name="Millares 4 2 3 4 2" xfId="247"/>
    <cellStyle name="Millares 4 2 3 5" xfId="248"/>
    <cellStyle name="Millares 4 2 4" xfId="249"/>
    <cellStyle name="Millares 4 2 4 2" xfId="250"/>
    <cellStyle name="Millares 4 2 5" xfId="251"/>
    <cellStyle name="Millares 4 2 5 2" xfId="252"/>
    <cellStyle name="Millares 4 2 6" xfId="253"/>
    <cellStyle name="Millares 4 2 6 2" xfId="254"/>
    <cellStyle name="Millares 4 2 7" xfId="255"/>
    <cellStyle name="Millares 4 3" xfId="256"/>
    <cellStyle name="Millares 4 3 2" xfId="257"/>
    <cellStyle name="Millares 4 3 2 2" xfId="258"/>
    <cellStyle name="Millares 4 3 2 2 2" xfId="259"/>
    <cellStyle name="Millares 4 3 2 3" xfId="260"/>
    <cellStyle name="Millares 4 3 2 3 2" xfId="261"/>
    <cellStyle name="Millares 4 3 2 4" xfId="262"/>
    <cellStyle name="Millares 4 3 2 4 2" xfId="263"/>
    <cellStyle name="Millares 4 3 2 5" xfId="264"/>
    <cellStyle name="Millares 4 3 3" xfId="265"/>
    <cellStyle name="Millares 4 3 3 2" xfId="266"/>
    <cellStyle name="Millares 4 3 3 2 2" xfId="267"/>
    <cellStyle name="Millares 4 3 3 3" xfId="268"/>
    <cellStyle name="Millares 4 3 3 3 2" xfId="269"/>
    <cellStyle name="Millares 4 3 3 4" xfId="270"/>
    <cellStyle name="Millares 4 3 3 4 2" xfId="271"/>
    <cellStyle name="Millares 4 3 3 5" xfId="272"/>
    <cellStyle name="Millares 4 3 4" xfId="273"/>
    <cellStyle name="Millares 4 3 4 2" xfId="274"/>
    <cellStyle name="Millares 4 3 5" xfId="275"/>
    <cellStyle name="Millares 4 3 5 2" xfId="276"/>
    <cellStyle name="Millares 4 3 6" xfId="277"/>
    <cellStyle name="Millares 4 3 6 2" xfId="278"/>
    <cellStyle name="Millares 4 3 7" xfId="279"/>
    <cellStyle name="Millares 4 4" xfId="280"/>
    <cellStyle name="Millares 4 4 2" xfId="281"/>
    <cellStyle name="Millares 4 4 2 2" xfId="282"/>
    <cellStyle name="Millares 4 4 3" xfId="283"/>
    <cellStyle name="Millares 4 4 3 2" xfId="284"/>
    <cellStyle name="Millares 4 4 4" xfId="285"/>
    <cellStyle name="Millares 4 4 4 2" xfId="286"/>
    <cellStyle name="Millares 4 4 5" xfId="287"/>
    <cellStyle name="Millares 4 5" xfId="288"/>
    <cellStyle name="Millares 4 5 2" xfId="289"/>
    <cellStyle name="Millares 4 5 2 2" xfId="290"/>
    <cellStyle name="Millares 4 5 3" xfId="291"/>
    <cellStyle name="Millares 4 5 3 2" xfId="292"/>
    <cellStyle name="Millares 4 5 4" xfId="293"/>
    <cellStyle name="Millares 4 5 4 2" xfId="294"/>
    <cellStyle name="Millares 4 5 5" xfId="295"/>
    <cellStyle name="Millares 4 6" xfId="296"/>
    <cellStyle name="Millares 4 6 2" xfId="297"/>
    <cellStyle name="Millares 4 7" xfId="298"/>
    <cellStyle name="Millares 4 7 2" xfId="299"/>
    <cellStyle name="Millares 4 8" xfId="300"/>
    <cellStyle name="Millares 4 8 2" xfId="301"/>
    <cellStyle name="Millares 4 9" xfId="302"/>
    <cellStyle name="Millares 40" xfId="303"/>
    <cellStyle name="Millares 41" xfId="304"/>
    <cellStyle name="Millares 41 2" xfId="305"/>
    <cellStyle name="Millares 41 3" xfId="306"/>
    <cellStyle name="Millares 42" xfId="307"/>
    <cellStyle name="Millares 42 2" xfId="308"/>
    <cellStyle name="Millares 42 3" xfId="309"/>
    <cellStyle name="Millares 43" xfId="310"/>
    <cellStyle name="Millares 43 2" xfId="311"/>
    <cellStyle name="Millares 43 3" xfId="312"/>
    <cellStyle name="Millares 44" xfId="313"/>
    <cellStyle name="Millares 45" xfId="314"/>
    <cellStyle name="Millares 46" xfId="315"/>
    <cellStyle name="Millares 5" xfId="316"/>
    <cellStyle name="Millares 5 2" xfId="317"/>
    <cellStyle name="Millares 5 2 2" xfId="318"/>
    <cellStyle name="Millares 5 2 2 2" xfId="319"/>
    <cellStyle name="Millares 5 2 2 2 2" xfId="320"/>
    <cellStyle name="Millares 5 2 2 3" xfId="321"/>
    <cellStyle name="Millares 5 2 2 3 2" xfId="322"/>
    <cellStyle name="Millares 5 2 2 4" xfId="323"/>
    <cellStyle name="Millares 5 2 2 4 2" xfId="324"/>
    <cellStyle name="Millares 5 2 2 5" xfId="325"/>
    <cellStyle name="Millares 5 2 3" xfId="326"/>
    <cellStyle name="Millares 5 2 3 2" xfId="327"/>
    <cellStyle name="Millares 5 2 3 2 2" xfId="328"/>
    <cellStyle name="Millares 5 2 3 3" xfId="329"/>
    <cellStyle name="Millares 5 2 3 3 2" xfId="330"/>
    <cellStyle name="Millares 5 2 3 4" xfId="331"/>
    <cellStyle name="Millares 5 2 3 4 2" xfId="332"/>
    <cellStyle name="Millares 5 2 3 5" xfId="333"/>
    <cellStyle name="Millares 5 2 4" xfId="334"/>
    <cellStyle name="Millares 5 2 4 2" xfId="335"/>
    <cellStyle name="Millares 5 2 5" xfId="336"/>
    <cellStyle name="Millares 5 2 5 2" xfId="337"/>
    <cellStyle name="Millares 5 2 6" xfId="338"/>
    <cellStyle name="Millares 5 2 6 2" xfId="339"/>
    <cellStyle name="Millares 5 2 7" xfId="340"/>
    <cellStyle name="Millares 5 3" xfId="341"/>
    <cellStyle name="Millares 5 3 2" xfId="342"/>
    <cellStyle name="Millares 5 3 2 2" xfId="343"/>
    <cellStyle name="Millares 5 3 2 2 2" xfId="344"/>
    <cellStyle name="Millares 5 3 2 3" xfId="345"/>
    <cellStyle name="Millares 5 3 2 3 2" xfId="346"/>
    <cellStyle name="Millares 5 3 2 4" xfId="347"/>
    <cellStyle name="Millares 5 3 2 4 2" xfId="348"/>
    <cellStyle name="Millares 5 3 2 5" xfId="349"/>
    <cellStyle name="Millares 5 3 3" xfId="350"/>
    <cellStyle name="Millares 5 3 3 2" xfId="351"/>
    <cellStyle name="Millares 5 3 3 2 2" xfId="352"/>
    <cellStyle name="Millares 5 3 3 3" xfId="353"/>
    <cellStyle name="Millares 5 3 3 3 2" xfId="354"/>
    <cellStyle name="Millares 5 3 3 4" xfId="355"/>
    <cellStyle name="Millares 5 3 3 4 2" xfId="356"/>
    <cellStyle name="Millares 5 3 3 5" xfId="357"/>
    <cellStyle name="Millares 5 3 4" xfId="358"/>
    <cellStyle name="Millares 5 3 4 2" xfId="359"/>
    <cellStyle name="Millares 5 3 5" xfId="360"/>
    <cellStyle name="Millares 5 3 5 2" xfId="361"/>
    <cellStyle name="Millares 5 3 6" xfId="362"/>
    <cellStyle name="Millares 5 3 6 2" xfId="363"/>
    <cellStyle name="Millares 5 3 7" xfId="364"/>
    <cellStyle name="Millares 5 4" xfId="365"/>
    <cellStyle name="Millares 5 4 2" xfId="366"/>
    <cellStyle name="Millares 5 4 2 2" xfId="367"/>
    <cellStyle name="Millares 5 4 3" xfId="368"/>
    <cellStyle name="Millares 5 4 3 2" xfId="369"/>
    <cellStyle name="Millares 5 4 4" xfId="370"/>
    <cellStyle name="Millares 5 4 4 2" xfId="371"/>
    <cellStyle name="Millares 5 4 5" xfId="372"/>
    <cellStyle name="Millares 5 5" xfId="373"/>
    <cellStyle name="Millares 5 5 2" xfId="374"/>
    <cellStyle name="Millares 5 5 2 2" xfId="375"/>
    <cellStyle name="Millares 5 5 3" xfId="376"/>
    <cellStyle name="Millares 5 5 3 2" xfId="377"/>
    <cellStyle name="Millares 5 5 4" xfId="378"/>
    <cellStyle name="Millares 5 5 4 2" xfId="379"/>
    <cellStyle name="Millares 5 5 5" xfId="380"/>
    <cellStyle name="Millares 5 6" xfId="381"/>
    <cellStyle name="Millares 5 6 2" xfId="382"/>
    <cellStyle name="Millares 5 7" xfId="383"/>
    <cellStyle name="Millares 5 7 2" xfId="384"/>
    <cellStyle name="Millares 5 8" xfId="385"/>
    <cellStyle name="Millares 5 8 2" xfId="386"/>
    <cellStyle name="Millares 5 9" xfId="387"/>
    <cellStyle name="Millares 6" xfId="388"/>
    <cellStyle name="Millares 6 2" xfId="389"/>
    <cellStyle name="Millares 6 2 2" xfId="390"/>
    <cellStyle name="Millares 6 2 2 2" xfId="391"/>
    <cellStyle name="Millares 6 2 3" xfId="392"/>
    <cellStyle name="Millares 6 2 3 2" xfId="393"/>
    <cellStyle name="Millares 6 2 4" xfId="394"/>
    <cellStyle name="Millares 6 2 4 2" xfId="395"/>
    <cellStyle name="Millares 6 2 5" xfId="396"/>
    <cellStyle name="Millares 6 3" xfId="397"/>
    <cellStyle name="Millares 6 3 2" xfId="398"/>
    <cellStyle name="Millares 6 3 2 2" xfId="399"/>
    <cellStyle name="Millares 6 3 3" xfId="400"/>
    <cellStyle name="Millares 6 3 3 2" xfId="401"/>
    <cellStyle name="Millares 6 3 4" xfId="402"/>
    <cellStyle name="Millares 6 3 4 2" xfId="403"/>
    <cellStyle name="Millares 6 3 5" xfId="404"/>
    <cellStyle name="Millares 6 4" xfId="405"/>
    <cellStyle name="Millares 6 4 2" xfId="406"/>
    <cellStyle name="Millares 6 5" xfId="407"/>
    <cellStyle name="Millares 6 5 2" xfId="408"/>
    <cellStyle name="Millares 6 6" xfId="409"/>
    <cellStyle name="Millares 6 6 2" xfId="410"/>
    <cellStyle name="Millares 6 7" xfId="411"/>
    <cellStyle name="Millares 7" xfId="412"/>
    <cellStyle name="Millares 7 2" xfId="413"/>
    <cellStyle name="Millares 7 2 2" xfId="414"/>
    <cellStyle name="Millares 7 2 2 2" xfId="415"/>
    <cellStyle name="Millares 7 2 3" xfId="416"/>
    <cellStyle name="Millares 7 2 3 2" xfId="417"/>
    <cellStyle name="Millares 7 2 4" xfId="418"/>
    <cellStyle name="Millares 7 2 4 2" xfId="419"/>
    <cellStyle name="Millares 7 2 5" xfId="420"/>
    <cellStyle name="Millares 7 3" xfId="421"/>
    <cellStyle name="Millares 7 3 2" xfId="422"/>
    <cellStyle name="Millares 7 3 2 2" xfId="423"/>
    <cellStyle name="Millares 7 3 3" xfId="424"/>
    <cellStyle name="Millares 7 3 3 2" xfId="425"/>
    <cellStyle name="Millares 7 3 4" xfId="426"/>
    <cellStyle name="Millares 7 3 4 2" xfId="427"/>
    <cellStyle name="Millares 7 3 5" xfId="428"/>
    <cellStyle name="Millares 7 4" xfId="429"/>
    <cellStyle name="Millares 7 4 2" xfId="430"/>
    <cellStyle name="Millares 7 5" xfId="431"/>
    <cellStyle name="Millares 7 5 2" xfId="432"/>
    <cellStyle name="Millares 7 6" xfId="433"/>
    <cellStyle name="Millares 7 6 2" xfId="434"/>
    <cellStyle name="Millares 7 7" xfId="435"/>
    <cellStyle name="Millares 8" xfId="436"/>
    <cellStyle name="Millares 8 2" xfId="437"/>
    <cellStyle name="Millares 8 3" xfId="438"/>
    <cellStyle name="Millares 9" xfId="439"/>
    <cellStyle name="Millares 9 2" xfId="440"/>
    <cellStyle name="Millares 9 2 2" xfId="441"/>
    <cellStyle name="Millares 9 2 2 2" xfId="442"/>
    <cellStyle name="Millares 9 2 3" xfId="443"/>
    <cellStyle name="Millares 9 2 3 2" xfId="444"/>
    <cellStyle name="Millares 9 2 4" xfId="445"/>
    <cellStyle name="Millares 9 2 4 2" xfId="446"/>
    <cellStyle name="Millares 9 2 5" xfId="447"/>
    <cellStyle name="Millares 9 3" xfId="448"/>
    <cellStyle name="Millares 9 4" xfId="449"/>
    <cellStyle name="Currency" xfId="450"/>
    <cellStyle name="Currency [0]" xfId="451"/>
    <cellStyle name="Moneda [0] 2" xfId="452"/>
    <cellStyle name="Moneda [0] 2 2" xfId="453"/>
    <cellStyle name="Moneda [0] 2 2 2" xfId="454"/>
    <cellStyle name="Moneda [0] 2 3" xfId="455"/>
    <cellStyle name="Moneda [0] 3" xfId="456"/>
    <cellStyle name="Moneda 2" xfId="457"/>
    <cellStyle name="Moneda 2 2" xfId="458"/>
    <cellStyle name="Moneda 3" xfId="459"/>
    <cellStyle name="Moneda 3 2" xfId="460"/>
    <cellStyle name="Moneda 3 2 2" xfId="461"/>
    <cellStyle name="Moneda 3 2 2 2" xfId="462"/>
    <cellStyle name="Moneda 3 2 2 2 2" xfId="463"/>
    <cellStyle name="Moneda 3 2 2 3" xfId="464"/>
    <cellStyle name="Moneda 3 2 2 3 2" xfId="465"/>
    <cellStyle name="Moneda 3 2 2 4" xfId="466"/>
    <cellStyle name="Moneda 3 2 2 4 2" xfId="467"/>
    <cellStyle name="Moneda 3 2 2 5" xfId="468"/>
    <cellStyle name="Moneda 3 2 3" xfId="469"/>
    <cellStyle name="Moneda 3 2 3 2" xfId="470"/>
    <cellStyle name="Moneda 3 2 3 2 2" xfId="471"/>
    <cellStyle name="Moneda 3 2 3 3" xfId="472"/>
    <cellStyle name="Moneda 3 2 3 3 2" xfId="473"/>
    <cellStyle name="Moneda 3 2 3 4" xfId="474"/>
    <cellStyle name="Moneda 3 2 3 4 2" xfId="475"/>
    <cellStyle name="Moneda 3 2 3 5" xfId="476"/>
    <cellStyle name="Moneda 3 2 4" xfId="477"/>
    <cellStyle name="Moneda 3 2 4 2" xfId="478"/>
    <cellStyle name="Moneda 3 2 5" xfId="479"/>
    <cellStyle name="Moneda 3 2 5 2" xfId="480"/>
    <cellStyle name="Moneda 3 2 6" xfId="481"/>
    <cellStyle name="Moneda 3 2 6 2" xfId="482"/>
    <cellStyle name="Moneda 3 2 7" xfId="483"/>
    <cellStyle name="Moneda 3 3" xfId="484"/>
    <cellStyle name="Moneda 3 3 2" xfId="485"/>
    <cellStyle name="Moneda 3 3 2 2" xfId="486"/>
    <cellStyle name="Moneda 3 3 2 2 2" xfId="487"/>
    <cellStyle name="Moneda 3 3 2 3" xfId="488"/>
    <cellStyle name="Moneda 3 3 2 3 2" xfId="489"/>
    <cellStyle name="Moneda 3 3 2 4" xfId="490"/>
    <cellStyle name="Moneda 3 3 2 4 2" xfId="491"/>
    <cellStyle name="Moneda 3 3 2 5" xfId="492"/>
    <cellStyle name="Moneda 3 3 3" xfId="493"/>
    <cellStyle name="Moneda 3 3 3 2" xfId="494"/>
    <cellStyle name="Moneda 3 3 3 2 2" xfId="495"/>
    <cellStyle name="Moneda 3 3 3 3" xfId="496"/>
    <cellStyle name="Moneda 3 3 3 3 2" xfId="497"/>
    <cellStyle name="Moneda 3 3 3 4" xfId="498"/>
    <cellStyle name="Moneda 3 3 3 4 2" xfId="499"/>
    <cellStyle name="Moneda 3 3 3 5" xfId="500"/>
    <cellStyle name="Moneda 3 3 4" xfId="501"/>
    <cellStyle name="Moneda 3 3 4 2" xfId="502"/>
    <cellStyle name="Moneda 3 3 5" xfId="503"/>
    <cellStyle name="Moneda 3 3 5 2" xfId="504"/>
    <cellStyle name="Moneda 3 3 6" xfId="505"/>
    <cellStyle name="Moneda 3 3 6 2" xfId="506"/>
    <cellStyle name="Moneda 3 3 7" xfId="507"/>
    <cellStyle name="Moneda 3 4" xfId="508"/>
    <cellStyle name="Moneda 3 4 2" xfId="509"/>
    <cellStyle name="Moneda 3 4 2 2" xfId="510"/>
    <cellStyle name="Moneda 3 4 3" xfId="511"/>
    <cellStyle name="Moneda 3 4 3 2" xfId="512"/>
    <cellStyle name="Moneda 3 4 4" xfId="513"/>
    <cellStyle name="Moneda 3 4 4 2" xfId="514"/>
    <cellStyle name="Moneda 3 4 5" xfId="515"/>
    <cellStyle name="Moneda 3 5" xfId="516"/>
    <cellStyle name="Moneda 3 5 2" xfId="517"/>
    <cellStyle name="Moneda 3 5 2 2" xfId="518"/>
    <cellStyle name="Moneda 3 5 3" xfId="519"/>
    <cellStyle name="Moneda 3 5 3 2" xfId="520"/>
    <cellStyle name="Moneda 3 5 4" xfId="521"/>
    <cellStyle name="Moneda 3 5 4 2" xfId="522"/>
    <cellStyle name="Moneda 3 5 5" xfId="523"/>
    <cellStyle name="Moneda 3 6" xfId="524"/>
    <cellStyle name="Moneda 3 6 2" xfId="525"/>
    <cellStyle name="Moneda 3 7" xfId="526"/>
    <cellStyle name="Moneda 3 7 2" xfId="527"/>
    <cellStyle name="Moneda 3 8" xfId="528"/>
    <cellStyle name="Moneda 3 8 2" xfId="529"/>
    <cellStyle name="Moneda 3 9" xfId="530"/>
    <cellStyle name="Moneda 4" xfId="531"/>
    <cellStyle name="Moneda 5" xfId="532"/>
    <cellStyle name="Moneda 5 2" xfId="533"/>
    <cellStyle name="Moneda 6" xfId="534"/>
    <cellStyle name="Moneda 7" xfId="535"/>
    <cellStyle name="Moneda 8" xfId="536"/>
    <cellStyle name="Moneda 9" xfId="537"/>
    <cellStyle name="Neutral" xfId="538"/>
    <cellStyle name="Normal 2" xfId="539"/>
    <cellStyle name="Normal 2 2" xfId="540"/>
    <cellStyle name="Normal 2 3" xfId="541"/>
    <cellStyle name="Normal 2 4" xfId="542"/>
    <cellStyle name="Normal 3" xfId="543"/>
    <cellStyle name="Normal 3 2" xfId="544"/>
    <cellStyle name="Normal 4" xfId="545"/>
    <cellStyle name="Normal 4 2" xfId="546"/>
    <cellStyle name="Normal 5" xfId="547"/>
    <cellStyle name="Normal 6" xfId="548"/>
    <cellStyle name="Normal 7" xfId="549"/>
    <cellStyle name="Notas" xfId="550"/>
    <cellStyle name="Percent" xfId="551"/>
    <cellStyle name="Porcentaje 2" xfId="552"/>
    <cellStyle name="Porcentaje 2 2" xfId="553"/>
    <cellStyle name="Porcentaje 2 3" xfId="554"/>
    <cellStyle name="Porcentaje 2 4" xfId="555"/>
    <cellStyle name="Porcentaje 2 5" xfId="556"/>
    <cellStyle name="Porcentaje 3" xfId="557"/>
    <cellStyle name="Porcentaje 3 2" xfId="558"/>
    <cellStyle name="Porcentaje 4" xfId="559"/>
    <cellStyle name="Salida" xfId="560"/>
    <cellStyle name="Texto de advertencia" xfId="561"/>
    <cellStyle name="Texto explicativo" xfId="562"/>
    <cellStyle name="Título" xfId="563"/>
    <cellStyle name="Título 2" xfId="564"/>
    <cellStyle name="Título 3" xfId="565"/>
    <cellStyle name="Total" xfId="5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trolpresupue\coordinador%20pptal\Users\FEDEPAPA\AppData\Local\Microsoft\Windows\INetCache\Content.Outlook\AQ8P2DKE\ACUERDOS%2017%20AL%20JUNTA%2014%20DE%20DICIEMBRE%20DE%202016\Cierre%20definitivo%20Tercer%20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CUERDOS%2017%20AL%20JUNTA%2014%20DE%20DICIEMBRE%20DE%202016\Cierre%20definitivo%20Tercer%20Trimestr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trolpresupue\coordinador%20pptal\Users\Personal\Desktop\COORDINADOR%20PPTAL\CONTROL%20PRESUPUESTAL\Presupuesto%202022\PROYECTOS\PRESUPUESTO%20INGRESOS%20202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ownloads\Solicitudes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OP 2016 CIERRE ACDO 13"/>
      <sheetName val="Nomina 2015"/>
      <sheetName val="RECAUDO OK"/>
      <sheetName val="SISTEMAS DE INFORMACIÓN OK "/>
      <sheetName val="ASISTENCIA TÉCNICA OK"/>
      <sheetName val="FERIAS GASTRONOMICAS OK"/>
      <sheetName val="SAC"/>
      <sheetName val="FUNCIONAMIENTO OK"/>
      <sheetName val="Nomina 2016 "/>
    </sheetNames>
    <sheetDataSet>
      <sheetData sheetId="2">
        <row r="58">
          <cell r="M58">
            <v>42370</v>
          </cell>
        </row>
        <row r="59">
          <cell r="M59">
            <v>42400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OP 2016 CIERRE ACDO 13"/>
      <sheetName val="Nomina 2015"/>
      <sheetName val="RECAUDO OK"/>
      <sheetName val="SISTEMAS DE INFORMACIÓN OK "/>
      <sheetName val="ASISTENCIA TÉCNICA OK"/>
      <sheetName val="FERIAS GASTRONOMICAS OK"/>
      <sheetName val="SAC"/>
      <sheetName val="FUNCIONAMIENTO OK"/>
      <sheetName val="Nomina 2016 "/>
    </sheetNames>
    <sheetDataSet>
      <sheetData sheetId="2">
        <row r="58">
          <cell r="M58">
            <v>42370</v>
          </cell>
        </row>
        <row r="59">
          <cell r="M59">
            <v>42400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CTORES 2022"/>
      <sheetName val="PROYECCIÓN CIERRE 2021"/>
      <sheetName val="RESUMEN 2022"/>
      <sheetName val="CUADROS"/>
      <sheetName val="Hoja1"/>
      <sheetName val="PROYECCIÓN CIERRE 2021 (2)"/>
      <sheetName val="RESUMEN 2022 (2)"/>
      <sheetName val="Estimación Mensual"/>
      <sheetName val="INTERESES"/>
    </sheetNames>
    <sheetDataSet>
      <sheetData sheetId="1">
        <row r="2">
          <cell r="A2" t="str">
            <v>CENTRAL DE ABASTOS</v>
          </cell>
        </row>
        <row r="3">
          <cell r="A3" t="str">
            <v>COMERCIALIZADOR</v>
          </cell>
        </row>
        <row r="4">
          <cell r="A4" t="str">
            <v>FRUVER</v>
          </cell>
        </row>
        <row r="5">
          <cell r="A5" t="str">
            <v>GRANDES SUPERFICIES</v>
          </cell>
        </row>
        <row r="6">
          <cell r="A6" t="str">
            <v>HORECA</v>
          </cell>
        </row>
        <row r="7">
          <cell r="A7" t="str">
            <v>INDUSTRIA</v>
          </cell>
        </row>
        <row r="8">
          <cell r="A8" t="str">
            <v>SEMILLERISTA</v>
          </cell>
        </row>
        <row r="12">
          <cell r="A12" t="str">
            <v>CENTRAL DE ABASTOS</v>
          </cell>
        </row>
        <row r="13">
          <cell r="A13" t="str">
            <v>COMERCIALIZADOR</v>
          </cell>
        </row>
        <row r="14">
          <cell r="A14" t="str">
            <v>FRUVER</v>
          </cell>
        </row>
        <row r="15">
          <cell r="A15" t="str">
            <v>GRANDES SUPERFICIES</v>
          </cell>
        </row>
        <row r="16">
          <cell r="A16" t="str">
            <v>HORECA</v>
          </cell>
        </row>
        <row r="17">
          <cell r="A17" t="str">
            <v>INDUSTRIA</v>
          </cell>
        </row>
        <row r="18">
          <cell r="A18" t="str">
            <v>SEMILLERISTA</v>
          </cell>
        </row>
        <row r="22">
          <cell r="A22" t="str">
            <v>CENTRAL DE ABASTOS</v>
          </cell>
        </row>
        <row r="23">
          <cell r="A23" t="str">
            <v>COMERCIALIZADOR</v>
          </cell>
        </row>
        <row r="24">
          <cell r="A24" t="str">
            <v>FRUVER</v>
          </cell>
        </row>
        <row r="25">
          <cell r="A25" t="str">
            <v>GRANDES SUPERFICIES</v>
          </cell>
        </row>
        <row r="26">
          <cell r="A26" t="str">
            <v>HORECA</v>
          </cell>
        </row>
        <row r="27">
          <cell r="A27" t="str">
            <v>INDUSTRIA</v>
          </cell>
        </row>
        <row r="28">
          <cell r="A28" t="str">
            <v>SEMILLERISTA</v>
          </cell>
        </row>
        <row r="32">
          <cell r="A32" t="str">
            <v>CENTRAL DE ABASTOS</v>
          </cell>
        </row>
        <row r="33">
          <cell r="A33" t="str">
            <v>COMERCIALIZADOR</v>
          </cell>
        </row>
        <row r="34">
          <cell r="A34" t="str">
            <v>FRUVER</v>
          </cell>
        </row>
        <row r="35">
          <cell r="A35" t="str">
            <v>GRANDES SUPERFICIES</v>
          </cell>
        </row>
        <row r="36">
          <cell r="A36" t="str">
            <v>HORECA</v>
          </cell>
        </row>
        <row r="37">
          <cell r="A37" t="str">
            <v>INDUSTRIA</v>
          </cell>
        </row>
        <row r="38">
          <cell r="A38" t="str">
            <v>SEMILLERISTA</v>
          </cell>
        </row>
        <row r="42">
          <cell r="A42" t="str">
            <v>CENTRAL DE ABASTOS</v>
          </cell>
        </row>
        <row r="43">
          <cell r="A43" t="str">
            <v>COMERCIALIZADOR</v>
          </cell>
        </row>
        <row r="44">
          <cell r="A44" t="str">
            <v>FRUVER</v>
          </cell>
        </row>
        <row r="45">
          <cell r="A45" t="str">
            <v>GRANDES SUPERFICIES</v>
          </cell>
        </row>
        <row r="46">
          <cell r="A46" t="str">
            <v>HORECA</v>
          </cell>
        </row>
        <row r="47">
          <cell r="A47" t="str">
            <v>INDUSTRIA</v>
          </cell>
        </row>
        <row r="48">
          <cell r="A48" t="str">
            <v>SEMILLERISTA</v>
          </cell>
        </row>
        <row r="52">
          <cell r="A52" t="str">
            <v>CENTRAL DE ABASTOS</v>
          </cell>
        </row>
        <row r="53">
          <cell r="A53" t="str">
            <v>COMERCIALIZADOR</v>
          </cell>
        </row>
        <row r="54">
          <cell r="A54" t="str">
            <v>FRUVER</v>
          </cell>
        </row>
        <row r="55">
          <cell r="A55" t="str">
            <v>GRANDES SUPERFICIES</v>
          </cell>
        </row>
        <row r="56">
          <cell r="A56" t="str">
            <v>HORECA</v>
          </cell>
        </row>
        <row r="57">
          <cell r="A57" t="str">
            <v>INDUSTRIA</v>
          </cell>
        </row>
        <row r="58">
          <cell r="A58" t="str">
            <v>SEMILLERISTA</v>
          </cell>
        </row>
        <row r="62">
          <cell r="A62" t="str">
            <v>CENTRAL DE ABASTOS</v>
          </cell>
        </row>
        <row r="63">
          <cell r="A63" t="str">
            <v>COMERCIALIZADOR</v>
          </cell>
        </row>
        <row r="64">
          <cell r="A64" t="str">
            <v>FRUVER</v>
          </cell>
        </row>
        <row r="65">
          <cell r="A65" t="str">
            <v>GRANDES SUPERFICIES</v>
          </cell>
        </row>
        <row r="66">
          <cell r="A66" t="str">
            <v>HORECA</v>
          </cell>
        </row>
        <row r="67">
          <cell r="A67" t="str">
            <v>INDUSTRIA</v>
          </cell>
        </row>
        <row r="68">
          <cell r="A68" t="str">
            <v>SEMILLERISTA</v>
          </cell>
        </row>
        <row r="72">
          <cell r="A72" t="str">
            <v>CENTRAL DE ABASTOS</v>
          </cell>
        </row>
        <row r="73">
          <cell r="A73" t="str">
            <v>COMERCIALIZADOR</v>
          </cell>
        </row>
        <row r="74">
          <cell r="A74" t="str">
            <v>FRUVER</v>
          </cell>
        </row>
        <row r="75">
          <cell r="A75" t="str">
            <v>GRANDES SUPERFICIES</v>
          </cell>
        </row>
        <row r="76">
          <cell r="A76" t="str">
            <v>HORECA</v>
          </cell>
        </row>
        <row r="77">
          <cell r="A77" t="str">
            <v>INDUSTRIA</v>
          </cell>
        </row>
        <row r="78">
          <cell r="A78" t="str">
            <v>SEMILLERISTA</v>
          </cell>
        </row>
        <row r="94">
          <cell r="D94">
            <v>295000000</v>
          </cell>
        </row>
        <row r="98">
          <cell r="C98">
            <v>409000000</v>
          </cell>
        </row>
      </sheetData>
      <sheetData sheetId="5">
        <row r="2">
          <cell r="D2">
            <v>0</v>
          </cell>
        </row>
        <row r="3">
          <cell r="D3">
            <v>37014924.42612287</v>
          </cell>
        </row>
        <row r="4">
          <cell r="D4">
            <v>222559684.65226236</v>
          </cell>
        </row>
        <row r="5">
          <cell r="D5">
            <v>86614570.28941599</v>
          </cell>
        </row>
        <row r="6">
          <cell r="D6">
            <v>39527480.3222467</v>
          </cell>
        </row>
        <row r="7">
          <cell r="D7">
            <v>997406219.8852615</v>
          </cell>
        </row>
        <row r="8">
          <cell r="D8">
            <v>6855080.853492105</v>
          </cell>
        </row>
        <row r="12">
          <cell r="D12">
            <v>760083.9615083424</v>
          </cell>
        </row>
        <row r="13">
          <cell r="D13">
            <v>45799775.64111966</v>
          </cell>
        </row>
        <row r="14">
          <cell r="D14">
            <v>38770401.23226359</v>
          </cell>
        </row>
        <row r="15">
          <cell r="D15">
            <v>0</v>
          </cell>
        </row>
        <row r="16">
          <cell r="D16">
            <v>3548672.6463771304</v>
          </cell>
        </row>
        <row r="17">
          <cell r="D17">
            <v>44641285.793816164</v>
          </cell>
        </row>
        <row r="18">
          <cell r="D18">
            <v>4207916.336220625</v>
          </cell>
        </row>
        <row r="22">
          <cell r="D22">
            <v>16919250.80835518</v>
          </cell>
        </row>
        <row r="23">
          <cell r="D23">
            <v>47436453.17478342</v>
          </cell>
        </row>
        <row r="24">
          <cell r="D24">
            <v>419126136.5972341</v>
          </cell>
        </row>
        <row r="25">
          <cell r="D25">
            <v>44019214.12284695</v>
          </cell>
        </row>
        <row r="26">
          <cell r="D26">
            <v>29020433.147998393</v>
          </cell>
        </row>
        <row r="27">
          <cell r="D27">
            <v>248828001.24139115</v>
          </cell>
        </row>
        <row r="28">
          <cell r="D28">
            <v>12845073.936965529</v>
          </cell>
        </row>
        <row r="32">
          <cell r="D32">
            <v>273879631.46026206</v>
          </cell>
        </row>
        <row r="33">
          <cell r="D33">
            <v>141425785.65545633</v>
          </cell>
        </row>
        <row r="34">
          <cell r="D34">
            <v>203092053.8316239</v>
          </cell>
        </row>
        <row r="35">
          <cell r="D35">
            <v>347078123.38165</v>
          </cell>
        </row>
        <row r="36">
          <cell r="D36">
            <v>19063201.860558074</v>
          </cell>
        </row>
        <row r="37">
          <cell r="D37">
            <v>12082369.135188434</v>
          </cell>
        </row>
        <row r="38">
          <cell r="D38">
            <v>0</v>
          </cell>
        </row>
        <row r="42">
          <cell r="D42">
            <v>498720258.82515943</v>
          </cell>
        </row>
        <row r="43">
          <cell r="D43">
            <v>84539488.0223102</v>
          </cell>
        </row>
        <row r="44">
          <cell r="D44">
            <v>120553904.08199805</v>
          </cell>
        </row>
        <row r="45">
          <cell r="D45">
            <v>31146762.880031094</v>
          </cell>
        </row>
        <row r="46">
          <cell r="D46">
            <v>30047845.850583505</v>
          </cell>
        </row>
        <row r="47">
          <cell r="D47">
            <v>231713352.40759712</v>
          </cell>
        </row>
        <row r="48">
          <cell r="D48">
            <v>0</v>
          </cell>
        </row>
        <row r="52">
          <cell r="D52">
            <v>0</v>
          </cell>
        </row>
        <row r="53">
          <cell r="D53">
            <v>164219047.9495705</v>
          </cell>
        </row>
        <row r="54">
          <cell r="D54">
            <v>135070103.79629236</v>
          </cell>
        </row>
        <row r="55">
          <cell r="D55">
            <v>0</v>
          </cell>
        </row>
        <row r="56">
          <cell r="D56">
            <v>37725235.96501525</v>
          </cell>
        </row>
        <row r="57">
          <cell r="D57">
            <v>156454495.7025633</v>
          </cell>
        </row>
        <row r="58">
          <cell r="D58">
            <v>1592200.560026459</v>
          </cell>
        </row>
        <row r="62">
          <cell r="D62">
            <v>22574426.90918806</v>
          </cell>
        </row>
        <row r="63">
          <cell r="D63">
            <v>673300.9973709707</v>
          </cell>
        </row>
        <row r="64">
          <cell r="D64">
            <v>52078997.43096301</v>
          </cell>
        </row>
        <row r="65">
          <cell r="D65">
            <v>0</v>
          </cell>
        </row>
        <row r="66">
          <cell r="D66">
            <v>15660244.970120989</v>
          </cell>
        </row>
        <row r="67">
          <cell r="D67">
            <v>38593783.628293455</v>
          </cell>
        </row>
        <row r="68">
          <cell r="D68">
            <v>0</v>
          </cell>
        </row>
        <row r="72">
          <cell r="D72">
            <v>4683909.571408116</v>
          </cell>
        </row>
        <row r="73">
          <cell r="D73">
            <v>10000214.270296134</v>
          </cell>
        </row>
        <row r="74">
          <cell r="D74">
            <v>29927128.285382643</v>
          </cell>
        </row>
        <row r="75">
          <cell r="D75">
            <v>0</v>
          </cell>
        </row>
        <row r="76">
          <cell r="D76">
            <v>27209168.44840663</v>
          </cell>
        </row>
        <row r="77">
          <cell r="D77">
            <v>3713892.445197474</v>
          </cell>
        </row>
        <row r="78">
          <cell r="D78">
            <v>200000</v>
          </cell>
        </row>
        <row r="82">
          <cell r="D82">
            <v>735576.0155175499</v>
          </cell>
        </row>
        <row r="83">
          <cell r="D83">
            <v>4938812.652536023</v>
          </cell>
        </row>
        <row r="84">
          <cell r="D84">
            <v>105751320.09583375</v>
          </cell>
        </row>
        <row r="85">
          <cell r="D85">
            <v>0</v>
          </cell>
        </row>
        <row r="86">
          <cell r="D86">
            <v>6551051.641790813</v>
          </cell>
        </row>
        <row r="87">
          <cell r="D87">
            <v>0</v>
          </cell>
        </row>
        <row r="88">
          <cell r="D88">
            <v>0</v>
          </cell>
        </row>
        <row r="92">
          <cell r="D92">
            <v>0</v>
          </cell>
        </row>
        <row r="93">
          <cell r="D93">
            <v>3427119.1032401323</v>
          </cell>
        </row>
        <row r="94">
          <cell r="D94">
            <v>30357899.316065088</v>
          </cell>
        </row>
        <row r="95">
          <cell r="D95">
            <v>492113386.4135263</v>
          </cell>
        </row>
        <row r="96">
          <cell r="D96">
            <v>9144730.367640635</v>
          </cell>
        </row>
        <row r="97">
          <cell r="D97">
            <v>0</v>
          </cell>
        </row>
        <row r="98">
          <cell r="D9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VIGENCIA 2022"/>
      <sheetName val="BAL F.08 12 2022"/>
      <sheetName val="BALANCE"/>
      <sheetName val="P&amp;G"/>
      <sheetName val="PPTO VS CONTABILIDAD"/>
      <sheetName val="PRESTACION DE SERVICIOS"/>
      <sheetName val="JUSTF VIAT FUNC"/>
      <sheetName val="JUSTIFICACIÓN VIAT RECAUDO"/>
      <sheetName val="JUSTIF VIAT ITPA"/>
      <sheetName val="JUST VIAT MG"/>
      <sheetName val="SEMINARIO INTERNACIONAL"/>
      <sheetName val="JUST VIA ECONOMICO"/>
      <sheetName val="JUSTIF VIAT CONSUMO"/>
      <sheetName val="JUSTIF VIAT DIVULGACION"/>
      <sheetName val="PLAN ESTRATEGICO"/>
      <sheetName val="JUST VIA ASOCIATIVIDAD "/>
    </sheetNames>
    <sheetDataSet>
      <sheetData sheetId="4">
        <row r="13">
          <cell r="C13">
            <v>237595381</v>
          </cell>
        </row>
        <row r="15">
          <cell r="C15">
            <v>8509997084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perfinanciera.gov.co/reportes/" TargetMode="External" /><Relationship Id="rId2" Type="http://schemas.openxmlformats.org/officeDocument/2006/relationships/hyperlink" Target="https://www.superfinanciera.gov.co/reportes/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33"/>
  <sheetViews>
    <sheetView zoomScalePageLayoutView="0" workbookViewId="0" topLeftCell="A7">
      <selection activeCell="A7" sqref="A1:IV16384"/>
    </sheetView>
  </sheetViews>
  <sheetFormatPr defaultColWidth="11.421875" defaultRowHeight="15" outlineLevelCol="1"/>
  <cols>
    <col min="1" max="1" width="5.421875" style="4" customWidth="1"/>
    <col min="2" max="2" width="50.7109375" style="4" customWidth="1"/>
    <col min="3" max="3" width="18.00390625" style="149" hidden="1" customWidth="1" outlineLevel="1"/>
    <col min="4" max="4" width="14.8515625" style="3" hidden="1" customWidth="1" outlineLevel="1"/>
    <col min="5" max="5" width="12.28125" style="3" hidden="1" customWidth="1" outlineLevel="1"/>
    <col min="6" max="6" width="20.00390625" style="3" bestFit="1" customWidth="1" collapsed="1"/>
    <col min="7" max="7" width="20.00390625" style="174" bestFit="1" customWidth="1"/>
    <col min="8" max="8" width="18.28125" style="61" customWidth="1"/>
    <col min="9" max="9" width="18.00390625" style="121" bestFit="1" customWidth="1"/>
    <col min="10" max="10" width="19.8515625" style="119" customWidth="1"/>
    <col min="11" max="11" width="15.421875" style="120" bestFit="1" customWidth="1"/>
    <col min="12" max="12" width="16.28125" style="4" customWidth="1"/>
    <col min="13" max="13" width="16.421875" style="4" bestFit="1" customWidth="1"/>
    <col min="14" max="16" width="14.8515625" style="4" bestFit="1" customWidth="1"/>
    <col min="17" max="16384" width="11.421875" style="4" customWidth="1"/>
  </cols>
  <sheetData>
    <row r="2" spans="2:8" ht="15">
      <c r="B2" s="668" t="s">
        <v>47</v>
      </c>
      <c r="C2" s="669"/>
      <c r="D2" s="669"/>
      <c r="E2" s="669"/>
      <c r="F2" s="669"/>
      <c r="G2" s="669"/>
      <c r="H2" s="668"/>
    </row>
    <row r="3" spans="2:8" ht="15">
      <c r="B3" s="668" t="s">
        <v>48</v>
      </c>
      <c r="C3" s="669"/>
      <c r="D3" s="669"/>
      <c r="E3" s="669"/>
      <c r="F3" s="669"/>
      <c r="G3" s="669"/>
      <c r="H3" s="668"/>
    </row>
    <row r="4" spans="2:8" ht="15">
      <c r="B4" s="668" t="s">
        <v>369</v>
      </c>
      <c r="C4" s="669"/>
      <c r="D4" s="669"/>
      <c r="E4" s="669"/>
      <c r="F4" s="669"/>
      <c r="G4" s="669"/>
      <c r="H4" s="668"/>
    </row>
    <row r="5" spans="2:8" ht="15">
      <c r="B5" s="668" t="s">
        <v>49</v>
      </c>
      <c r="C5" s="669"/>
      <c r="D5" s="669"/>
      <c r="E5" s="669"/>
      <c r="F5" s="669"/>
      <c r="G5" s="669"/>
      <c r="H5" s="668"/>
    </row>
    <row r="6" spans="2:8" ht="15">
      <c r="B6" s="668" t="s">
        <v>370</v>
      </c>
      <c r="C6" s="669"/>
      <c r="D6" s="669"/>
      <c r="E6" s="669"/>
      <c r="F6" s="669"/>
      <c r="G6" s="669"/>
      <c r="H6" s="668"/>
    </row>
    <row r="7" spans="2:8" ht="15.75" thickBot="1">
      <c r="B7" s="564"/>
      <c r="C7" s="132"/>
      <c r="D7" s="5"/>
      <c r="E7" s="5"/>
      <c r="F7" s="5"/>
      <c r="G7" s="152"/>
      <c r="H7" s="564"/>
    </row>
    <row r="8" spans="2:8" ht="15">
      <c r="B8" s="666" t="s">
        <v>50</v>
      </c>
      <c r="C8" s="133" t="s">
        <v>51</v>
      </c>
      <c r="D8" s="6" t="s">
        <v>52</v>
      </c>
      <c r="E8" s="6" t="s">
        <v>53</v>
      </c>
      <c r="F8" s="7" t="s">
        <v>128</v>
      </c>
      <c r="G8" s="153" t="s">
        <v>129</v>
      </c>
      <c r="H8" s="8" t="s">
        <v>93</v>
      </c>
    </row>
    <row r="9" spans="2:8" ht="12.75" customHeight="1" thickBot="1">
      <c r="B9" s="667"/>
      <c r="C9" s="134" t="s">
        <v>371</v>
      </c>
      <c r="D9" s="9"/>
      <c r="E9" s="10"/>
      <c r="F9" s="11" t="s">
        <v>371</v>
      </c>
      <c r="G9" s="154" t="s">
        <v>277</v>
      </c>
      <c r="H9" s="12" t="s">
        <v>372</v>
      </c>
    </row>
    <row r="10" spans="2:8" ht="15">
      <c r="B10" s="13" t="s">
        <v>54</v>
      </c>
      <c r="C10" s="135">
        <f>SUM(C11:C14)</f>
        <v>13033715846.993309</v>
      </c>
      <c r="D10" s="14">
        <f>SUM(D11:D14)</f>
        <v>0</v>
      </c>
      <c r="E10" s="14">
        <f>SUM(E11:E14)</f>
        <v>0</v>
      </c>
      <c r="F10" s="15">
        <f>SUM(F11:F14)</f>
        <v>13033715846.993309</v>
      </c>
      <c r="G10" s="155">
        <f>SUM(G11:G14)</f>
        <v>10672638758.052338</v>
      </c>
      <c r="H10" s="51">
        <f>+(F10-G10)/G10</f>
        <v>0.22122711566149242</v>
      </c>
    </row>
    <row r="11" spans="2:8" ht="15">
      <c r="B11" s="16" t="s">
        <v>55</v>
      </c>
      <c r="C11" s="136">
        <f>+'RESUMEN 2022'!D129</f>
        <v>6352062783.487215</v>
      </c>
      <c r="D11" s="17"/>
      <c r="E11" s="17"/>
      <c r="F11" s="18">
        <f>SUM(C11:E11)</f>
        <v>6352062783.487215</v>
      </c>
      <c r="G11" s="156">
        <v>5533809852</v>
      </c>
      <c r="H11" s="52">
        <f>+(F11-G11)/G11</f>
        <v>0.1478643020579188</v>
      </c>
    </row>
    <row r="12" spans="2:8" ht="15">
      <c r="B12" s="16" t="s">
        <v>138</v>
      </c>
      <c r="C12" s="136">
        <f>+'RESUMEN 2022'!D130</f>
        <v>419478712.35375464</v>
      </c>
      <c r="D12" s="17"/>
      <c r="E12" s="17"/>
      <c r="F12" s="18">
        <f>SUM(C12:E12)</f>
        <v>419478712.35375464</v>
      </c>
      <c r="G12" s="156">
        <v>113390147</v>
      </c>
      <c r="H12" s="52">
        <f>+(F12-G12)/G12</f>
        <v>2.6994282435647134</v>
      </c>
    </row>
    <row r="13" spans="2:8" ht="15">
      <c r="B13" s="16" t="s">
        <v>56</v>
      </c>
      <c r="C13" s="136">
        <f>+'RESUMEN 2022'!D132</f>
        <v>308500000</v>
      </c>
      <c r="D13" s="19"/>
      <c r="E13" s="17"/>
      <c r="F13" s="49">
        <f>SUM(C13:E13)</f>
        <v>308500000</v>
      </c>
      <c r="G13" s="156">
        <v>50000000</v>
      </c>
      <c r="H13" s="52">
        <f aca="true" t="shared" si="0" ref="H13:H76">+(F13-G13)/G13</f>
        <v>5.17</v>
      </c>
    </row>
    <row r="14" spans="2:14" ht="15">
      <c r="B14" s="16" t="s">
        <v>97</v>
      </c>
      <c r="C14" s="136">
        <f>+G113</f>
        <v>5953674351.152338</v>
      </c>
      <c r="D14" s="19"/>
      <c r="E14" s="17"/>
      <c r="F14" s="49">
        <f>SUM(C14:E14)</f>
        <v>5953674351.152338</v>
      </c>
      <c r="G14" s="157">
        <v>4975438759.052338</v>
      </c>
      <c r="H14" s="53">
        <f t="shared" si="0"/>
        <v>0.19661292992908289</v>
      </c>
      <c r="L14" s="120"/>
      <c r="M14" s="120"/>
      <c r="N14" s="120"/>
    </row>
    <row r="15" spans="2:8" ht="15">
      <c r="B15" s="20" t="s">
        <v>57</v>
      </c>
      <c r="C15" s="137">
        <f>+SUM(C16:C17)</f>
        <v>235782621.32874382</v>
      </c>
      <c r="D15" s="21">
        <f>+SUM(D16:D17)</f>
        <v>0</v>
      </c>
      <c r="E15" s="21">
        <f>+SUM(E16:E17)</f>
        <v>0</v>
      </c>
      <c r="F15" s="22">
        <f>+SUM(F16:F17)</f>
        <v>235782621.32874382</v>
      </c>
      <c r="G15" s="158">
        <f>+SUM(G16:G17)</f>
        <v>75578375</v>
      </c>
      <c r="H15" s="54">
        <f t="shared" si="0"/>
        <v>2.1197101198423995</v>
      </c>
    </row>
    <row r="16" spans="2:8" ht="15">
      <c r="B16" s="16" t="s">
        <v>58</v>
      </c>
      <c r="C16" s="138">
        <v>3000000</v>
      </c>
      <c r="D16" s="17"/>
      <c r="E16" s="17"/>
      <c r="F16" s="18">
        <f>SUM(C16:E16)</f>
        <v>3000000</v>
      </c>
      <c r="G16" s="159">
        <v>3000000</v>
      </c>
      <c r="H16" s="53">
        <f t="shared" si="0"/>
        <v>0</v>
      </c>
    </row>
    <row r="17" spans="2:8" ht="15">
      <c r="B17" s="16" t="s">
        <v>59</v>
      </c>
      <c r="C17" s="136">
        <f>+'INGRESOS Intereses finan'!H41</f>
        <v>232782621.32874382</v>
      </c>
      <c r="D17" s="19"/>
      <c r="E17" s="17"/>
      <c r="F17" s="18">
        <f>SUM(C17:E17)</f>
        <v>232782621.32874382</v>
      </c>
      <c r="G17" s="159">
        <v>72578375</v>
      </c>
      <c r="H17" s="53">
        <f t="shared" si="0"/>
        <v>2.2073275452742473</v>
      </c>
    </row>
    <row r="18" spans="2:8" ht="15">
      <c r="B18" s="20" t="s">
        <v>60</v>
      </c>
      <c r="C18" s="137">
        <f>SUM(C10+C15)</f>
        <v>13269498468.322052</v>
      </c>
      <c r="D18" s="21">
        <f>SUM(D10+D15+D16)</f>
        <v>0</v>
      </c>
      <c r="E18" s="21">
        <f>SUM(E10+E15+E16)</f>
        <v>0</v>
      </c>
      <c r="F18" s="22">
        <f>SUM(F10+F15)</f>
        <v>13269498468.322052</v>
      </c>
      <c r="G18" s="158">
        <f>SUM(G10+G15)</f>
        <v>10748217133.052338</v>
      </c>
      <c r="H18" s="54">
        <f t="shared" si="0"/>
        <v>0.23457670272741382</v>
      </c>
    </row>
    <row r="19" spans="2:8" ht="15" hidden="1">
      <c r="B19" s="23" t="s">
        <v>61</v>
      </c>
      <c r="C19" s="137"/>
      <c r="D19" s="21"/>
      <c r="E19" s="21"/>
      <c r="F19" s="22"/>
      <c r="G19" s="158"/>
      <c r="H19" s="54"/>
    </row>
    <row r="20" spans="2:10" ht="15" hidden="1">
      <c r="B20" s="24" t="s">
        <v>62</v>
      </c>
      <c r="C20" s="137" t="e">
        <f>+C21+C33</f>
        <v>#REF!</v>
      </c>
      <c r="D20" s="21">
        <f>+D21+D33</f>
        <v>0</v>
      </c>
      <c r="E20" s="21">
        <f>+E21+E33</f>
        <v>0</v>
      </c>
      <c r="F20" s="22" t="e">
        <f>+F21+F33</f>
        <v>#REF!</v>
      </c>
      <c r="G20" s="158">
        <f>+G21+G33</f>
        <v>1039987526</v>
      </c>
      <c r="H20" s="54" t="e">
        <f t="shared" si="0"/>
        <v>#REF!</v>
      </c>
      <c r="I20" s="121" t="e">
        <f>+F20/F112</f>
        <v>#REF!</v>
      </c>
      <c r="J20" s="175"/>
    </row>
    <row r="21" spans="2:8" ht="15" hidden="1">
      <c r="B21" s="25" t="s">
        <v>43</v>
      </c>
      <c r="C21" s="137" t="e">
        <f>SUM(C22:C32)</f>
        <v>#REF!</v>
      </c>
      <c r="D21" s="21">
        <f>SUM(D22:D32)</f>
        <v>0</v>
      </c>
      <c r="E21" s="21">
        <f>SUM(E22:E32)</f>
        <v>0</v>
      </c>
      <c r="F21" s="22" t="e">
        <f aca="true" t="shared" si="1" ref="F21:F33">SUM(C21:E21)</f>
        <v>#REF!</v>
      </c>
      <c r="G21" s="158">
        <f>SUM(G22:G32)</f>
        <v>662663636</v>
      </c>
      <c r="H21" s="54" t="e">
        <f t="shared" si="0"/>
        <v>#REF!</v>
      </c>
    </row>
    <row r="22" spans="2:8" ht="15" hidden="1">
      <c r="B22" s="26" t="s">
        <v>63</v>
      </c>
      <c r="C22" s="138">
        <f>+'NOMINA 2022 PLANTA'!J9+'NOMINA 2022 PLANTA'!J29</f>
        <v>504393646</v>
      </c>
      <c r="D22" s="17"/>
      <c r="E22" s="17"/>
      <c r="F22" s="18">
        <f t="shared" si="1"/>
        <v>504393646</v>
      </c>
      <c r="G22" s="160">
        <v>357754192</v>
      </c>
      <c r="H22" s="55">
        <f t="shared" si="0"/>
        <v>0.4098888490452685</v>
      </c>
    </row>
    <row r="23" spans="2:8" ht="15" hidden="1">
      <c r="B23" s="26" t="s">
        <v>64</v>
      </c>
      <c r="C23" s="138">
        <f>+'NOMINA 2022 PLANTA'!N9+'NOMINA 2022 PLANTA'!N29+1</f>
        <v>21016398</v>
      </c>
      <c r="D23" s="17"/>
      <c r="E23" s="17"/>
      <c r="F23" s="18">
        <f t="shared" si="1"/>
        <v>21016398</v>
      </c>
      <c r="G23" s="159">
        <v>14471663</v>
      </c>
      <c r="H23" s="53">
        <f t="shared" si="0"/>
        <v>0.45224484566839346</v>
      </c>
    </row>
    <row r="24" spans="2:14" ht="15" hidden="1">
      <c r="B24" s="27" t="s">
        <v>88</v>
      </c>
      <c r="C24" s="139">
        <v>2667737</v>
      </c>
      <c r="D24" s="17"/>
      <c r="E24" s="17"/>
      <c r="F24" s="18">
        <f t="shared" si="1"/>
        <v>2667737</v>
      </c>
      <c r="G24" s="159">
        <v>3657621</v>
      </c>
      <c r="H24" s="53">
        <f t="shared" si="0"/>
        <v>-0.2706360227043753</v>
      </c>
      <c r="N24" s="122"/>
    </row>
    <row r="25" spans="2:8" ht="15" hidden="1">
      <c r="B25" s="26" t="s">
        <v>65</v>
      </c>
      <c r="C25" s="138">
        <f>+'NOMINA 2022 PLANTA'!M9+'NOMINA 2022 PLANTA'!M29</f>
        <v>42255122</v>
      </c>
      <c r="D25" s="17"/>
      <c r="E25" s="17"/>
      <c r="F25" s="18">
        <f t="shared" si="1"/>
        <v>42255122</v>
      </c>
      <c r="G25" s="159">
        <v>29248130</v>
      </c>
      <c r="H25" s="53">
        <f t="shared" si="0"/>
        <v>0.44471191833460805</v>
      </c>
    </row>
    <row r="26" spans="2:8" ht="15" hidden="1">
      <c r="B26" s="26" t="s">
        <v>44</v>
      </c>
      <c r="C26" s="138" t="e">
        <f>+#REF!+#REF!+#REF!</f>
        <v>#REF!</v>
      </c>
      <c r="D26" s="17"/>
      <c r="E26" s="17"/>
      <c r="F26" s="18" t="e">
        <f t="shared" si="1"/>
        <v>#REF!</v>
      </c>
      <c r="G26" s="159">
        <v>114424000</v>
      </c>
      <c r="H26" s="53" t="e">
        <f t="shared" si="0"/>
        <v>#REF!</v>
      </c>
    </row>
    <row r="27" spans="2:8" ht="15" hidden="1">
      <c r="B27" s="26" t="s">
        <v>66</v>
      </c>
      <c r="C27" s="138">
        <f>+'NOMINA 2022 PLANTA'!V9+'NOMINA 2022 PLANTA'!V29</f>
        <v>3000000</v>
      </c>
      <c r="D27" s="17"/>
      <c r="E27" s="17"/>
      <c r="F27" s="18">
        <f t="shared" si="1"/>
        <v>3000000</v>
      </c>
      <c r="G27" s="159">
        <v>2115900</v>
      </c>
      <c r="H27" s="53">
        <f t="shared" si="0"/>
        <v>0.41783638168155396</v>
      </c>
    </row>
    <row r="28" spans="2:8" ht="15" hidden="1">
      <c r="B28" s="26" t="s">
        <v>67</v>
      </c>
      <c r="C28" s="138">
        <f>+'NOMINA 2022 PLANTA'!K9+'NOMINA 2022 PLANTA'!K29</f>
        <v>42255122</v>
      </c>
      <c r="D28" s="17"/>
      <c r="E28" s="17"/>
      <c r="F28" s="18">
        <f t="shared" si="1"/>
        <v>42255122</v>
      </c>
      <c r="G28" s="159">
        <v>29248130</v>
      </c>
      <c r="H28" s="53">
        <f t="shared" si="0"/>
        <v>0.44471191833460805</v>
      </c>
    </row>
    <row r="29" spans="2:8" ht="15" hidden="1">
      <c r="B29" s="26" t="s">
        <v>68</v>
      </c>
      <c r="C29" s="138">
        <f>+'NOMINA 2022 PLANTA'!L9+'NOMINA 2022 PLANTA'!L29</f>
        <v>5071000</v>
      </c>
      <c r="D29" s="17"/>
      <c r="E29" s="17"/>
      <c r="F29" s="18">
        <f t="shared" si="1"/>
        <v>5071000</v>
      </c>
      <c r="G29" s="159">
        <v>3510000</v>
      </c>
      <c r="H29" s="53">
        <f t="shared" si="0"/>
        <v>0.4447293447293447</v>
      </c>
    </row>
    <row r="30" spans="2:8" ht="15" hidden="1">
      <c r="B30" s="26" t="s">
        <v>69</v>
      </c>
      <c r="C30" s="138">
        <f>+'NOMINA 2022 PLANTA'!O9+'NOMINA 2022 PLANTA'!P9+'NOMINA 2022 PLANTA'!Q9+'NOMINA 2022 PLANTA'!O29+'NOMINA 2022 PLANTA'!P29+'NOMINA 2022 PLANTA'!Q29</f>
        <v>119526000</v>
      </c>
      <c r="D30" s="17"/>
      <c r="E30" s="17"/>
      <c r="F30" s="18">
        <f t="shared" si="1"/>
        <v>119526000</v>
      </c>
      <c r="G30" s="159">
        <v>75675000</v>
      </c>
      <c r="H30" s="53">
        <f t="shared" si="0"/>
        <v>0.5794648166501487</v>
      </c>
    </row>
    <row r="31" spans="2:8" ht="15" hidden="1">
      <c r="B31" s="26" t="s">
        <v>70</v>
      </c>
      <c r="C31" s="138">
        <f>+'NOMINA 2022 PLANTA'!R9+'NOMINA 2022 PLANTA'!R29</f>
        <v>21019000</v>
      </c>
      <c r="D31" s="17"/>
      <c r="E31" s="17"/>
      <c r="F31" s="18">
        <f t="shared" si="1"/>
        <v>21019000</v>
      </c>
      <c r="G31" s="159">
        <v>14470000</v>
      </c>
      <c r="H31" s="53">
        <f t="shared" si="0"/>
        <v>0.45259156876295786</v>
      </c>
    </row>
    <row r="32" spans="2:8" ht="15" hidden="1">
      <c r="B32" s="26" t="s">
        <v>71</v>
      </c>
      <c r="C32" s="138">
        <f>+'NOMINA 2022 PLANTA'!S9+'NOMINA 2022 PLANTA'!T9+'NOMINA 2022 PLANTA'!S29+'NOMINA 2022 PLANTA'!T29</f>
        <v>26265000</v>
      </c>
      <c r="D32" s="17"/>
      <c r="E32" s="17"/>
      <c r="F32" s="18">
        <f t="shared" si="1"/>
        <v>26265000</v>
      </c>
      <c r="G32" s="161">
        <v>18089000</v>
      </c>
      <c r="H32" s="56">
        <f t="shared" si="0"/>
        <v>0.4519873956548178</v>
      </c>
    </row>
    <row r="33" spans="2:8" ht="15" hidden="1">
      <c r="B33" s="25" t="s">
        <v>45</v>
      </c>
      <c r="C33" s="140" t="e">
        <f>SUM(C34:C48)</f>
        <v>#REF!</v>
      </c>
      <c r="D33" s="29">
        <f>SUM(D34:D48)</f>
        <v>0</v>
      </c>
      <c r="E33" s="29">
        <f>SUM(E34:E48)</f>
        <v>0</v>
      </c>
      <c r="F33" s="22" t="e">
        <f t="shared" si="1"/>
        <v>#REF!</v>
      </c>
      <c r="G33" s="162">
        <f>SUM(G34:G48)</f>
        <v>377323890</v>
      </c>
      <c r="H33" s="54" t="e">
        <f t="shared" si="0"/>
        <v>#REF!</v>
      </c>
    </row>
    <row r="34" spans="2:8" ht="15" hidden="1">
      <c r="B34" s="26" t="s">
        <v>244</v>
      </c>
      <c r="C34" s="139" t="e">
        <f>+#REF!+#REF!</f>
        <v>#REF!</v>
      </c>
      <c r="D34" s="17"/>
      <c r="E34" s="17"/>
      <c r="F34" s="18" t="e">
        <f aca="true" t="shared" si="2" ref="F34:F48">SUM(C34:E34)</f>
        <v>#REF!</v>
      </c>
      <c r="G34" s="160">
        <v>20325944</v>
      </c>
      <c r="H34" s="55" t="e">
        <f t="shared" si="0"/>
        <v>#REF!</v>
      </c>
    </row>
    <row r="35" spans="2:8" ht="15" hidden="1">
      <c r="B35" s="26" t="s">
        <v>72</v>
      </c>
      <c r="C35" s="139">
        <v>0</v>
      </c>
      <c r="D35" s="17"/>
      <c r="E35" s="17"/>
      <c r="F35" s="18">
        <f t="shared" si="2"/>
        <v>0</v>
      </c>
      <c r="G35" s="159">
        <v>0</v>
      </c>
      <c r="H35" s="53" t="e">
        <f t="shared" si="0"/>
        <v>#DIV/0!</v>
      </c>
    </row>
    <row r="36" spans="2:8" ht="15" hidden="1">
      <c r="B36" s="26" t="s">
        <v>73</v>
      </c>
      <c r="C36" s="139" t="e">
        <f>+#REF!+#REF!</f>
        <v>#REF!</v>
      </c>
      <c r="D36" s="17"/>
      <c r="E36" s="17"/>
      <c r="F36" s="18" t="e">
        <f t="shared" si="2"/>
        <v>#REF!</v>
      </c>
      <c r="G36" s="159">
        <v>15578690</v>
      </c>
      <c r="H36" s="53" t="e">
        <f t="shared" si="0"/>
        <v>#REF!</v>
      </c>
    </row>
    <row r="37" spans="2:8" ht="15" hidden="1">
      <c r="B37" s="26" t="s">
        <v>29</v>
      </c>
      <c r="C37" s="139" t="e">
        <f>+#REF!</f>
        <v>#REF!</v>
      </c>
      <c r="D37" s="17"/>
      <c r="E37" s="17"/>
      <c r="F37" s="18" t="e">
        <f t="shared" si="2"/>
        <v>#REF!</v>
      </c>
      <c r="G37" s="159">
        <v>5837400</v>
      </c>
      <c r="H37" s="53" t="e">
        <f t="shared" si="0"/>
        <v>#REF!</v>
      </c>
    </row>
    <row r="38" spans="2:8" ht="15" hidden="1">
      <c r="B38" s="26" t="s">
        <v>30</v>
      </c>
      <c r="C38" s="139" t="e">
        <f>+#REF!+#REF!</f>
        <v>#REF!</v>
      </c>
      <c r="D38" s="17"/>
      <c r="E38" s="17"/>
      <c r="F38" s="18" t="e">
        <f t="shared" si="2"/>
        <v>#REF!</v>
      </c>
      <c r="G38" s="159">
        <v>145399304</v>
      </c>
      <c r="H38" s="53" t="e">
        <f t="shared" si="0"/>
        <v>#REF!</v>
      </c>
    </row>
    <row r="39" spans="2:8" ht="15" hidden="1">
      <c r="B39" s="26" t="s">
        <v>31</v>
      </c>
      <c r="C39" s="139" t="e">
        <f>+#REF!+#REF!+#REF!</f>
        <v>#REF!</v>
      </c>
      <c r="D39" s="17"/>
      <c r="E39" s="17"/>
      <c r="F39" s="18" t="e">
        <f t="shared" si="2"/>
        <v>#REF!</v>
      </c>
      <c r="G39" s="159">
        <v>31726517</v>
      </c>
      <c r="H39" s="53">
        <v>1</v>
      </c>
    </row>
    <row r="40" spans="2:8" ht="15" hidden="1">
      <c r="B40" s="26" t="s">
        <v>74</v>
      </c>
      <c r="C40" s="139">
        <v>0</v>
      </c>
      <c r="D40" s="17"/>
      <c r="E40" s="17"/>
      <c r="F40" s="18">
        <f t="shared" si="2"/>
        <v>0</v>
      </c>
      <c r="G40" s="159">
        <v>0</v>
      </c>
      <c r="H40" s="53" t="e">
        <f t="shared" si="0"/>
        <v>#DIV/0!</v>
      </c>
    </row>
    <row r="41" spans="2:8" ht="15" hidden="1">
      <c r="B41" s="26" t="s">
        <v>32</v>
      </c>
      <c r="C41" s="139" t="e">
        <f>+#REF!+#REF!</f>
        <v>#REF!</v>
      </c>
      <c r="D41" s="17"/>
      <c r="E41" s="17"/>
      <c r="F41" s="18" t="e">
        <f>SUM(C41:E41)</f>
        <v>#REF!</v>
      </c>
      <c r="G41" s="159">
        <v>32750940</v>
      </c>
      <c r="H41" s="53" t="e">
        <f t="shared" si="0"/>
        <v>#REF!</v>
      </c>
    </row>
    <row r="42" spans="2:8" ht="15" hidden="1">
      <c r="B42" s="26" t="s">
        <v>183</v>
      </c>
      <c r="C42" s="139" t="e">
        <f>+#REF!+#REF!</f>
        <v>#REF!</v>
      </c>
      <c r="D42" s="17"/>
      <c r="E42" s="17"/>
      <c r="F42" s="18" t="e">
        <f t="shared" si="2"/>
        <v>#REF!</v>
      </c>
      <c r="G42" s="159">
        <v>4692850</v>
      </c>
      <c r="H42" s="53">
        <v>1</v>
      </c>
    </row>
    <row r="43" spans="2:8" ht="15" hidden="1">
      <c r="B43" s="26" t="s">
        <v>75</v>
      </c>
      <c r="C43" s="139" t="e">
        <f>+#REF!+#REF!</f>
        <v>#REF!</v>
      </c>
      <c r="D43" s="17"/>
      <c r="E43" s="17"/>
      <c r="F43" s="18" t="e">
        <f t="shared" si="2"/>
        <v>#REF!</v>
      </c>
      <c r="G43" s="159">
        <v>2769207</v>
      </c>
      <c r="H43" s="53" t="e">
        <f t="shared" si="0"/>
        <v>#REF!</v>
      </c>
    </row>
    <row r="44" spans="2:8" ht="15" hidden="1">
      <c r="B44" s="26" t="s">
        <v>76</v>
      </c>
      <c r="C44" s="139" t="e">
        <f>+#REF!</f>
        <v>#REF!</v>
      </c>
      <c r="D44" s="17"/>
      <c r="E44" s="17"/>
      <c r="F44" s="18" t="e">
        <f t="shared" si="2"/>
        <v>#REF!</v>
      </c>
      <c r="G44" s="159">
        <v>45050000</v>
      </c>
      <c r="H44" s="53" t="e">
        <f t="shared" si="0"/>
        <v>#REF!</v>
      </c>
    </row>
    <row r="45" spans="2:8" ht="15" hidden="1">
      <c r="B45" s="26" t="s">
        <v>77</v>
      </c>
      <c r="C45" s="139" t="e">
        <f>+#REF!+#REF!</f>
        <v>#REF!</v>
      </c>
      <c r="D45" s="17"/>
      <c r="E45" s="17"/>
      <c r="F45" s="18" t="e">
        <f t="shared" si="2"/>
        <v>#REF!</v>
      </c>
      <c r="G45" s="159">
        <v>18338136</v>
      </c>
      <c r="H45" s="53" t="e">
        <f t="shared" si="0"/>
        <v>#REF!</v>
      </c>
    </row>
    <row r="46" spans="2:8" ht="15" hidden="1">
      <c r="B46" s="141" t="s">
        <v>184</v>
      </c>
      <c r="C46" s="139" t="e">
        <f>+#REF!</f>
        <v>#REF!</v>
      </c>
      <c r="D46" s="17"/>
      <c r="E46" s="17"/>
      <c r="F46" s="18" t="e">
        <f>SUM(C46:E46)</f>
        <v>#REF!</v>
      </c>
      <c r="G46" s="159">
        <v>1200000</v>
      </c>
      <c r="H46" s="53" t="e">
        <f>+(F46-G46)/G46</f>
        <v>#REF!</v>
      </c>
    </row>
    <row r="47" spans="2:8" ht="15" hidden="1">
      <c r="B47" s="26" t="s">
        <v>46</v>
      </c>
      <c r="C47" s="139" t="e">
        <f>+#REF!</f>
        <v>#REF!</v>
      </c>
      <c r="D47" s="17"/>
      <c r="E47" s="17"/>
      <c r="F47" s="18" t="e">
        <f t="shared" si="2"/>
        <v>#REF!</v>
      </c>
      <c r="G47" s="159">
        <v>15000000</v>
      </c>
      <c r="H47" s="53" t="e">
        <f t="shared" si="0"/>
        <v>#REF!</v>
      </c>
    </row>
    <row r="48" spans="2:13" ht="15.75" hidden="1" thickBot="1">
      <c r="B48" s="30" t="s">
        <v>78</v>
      </c>
      <c r="C48" s="142" t="e">
        <f>+#REF!</f>
        <v>#REF!</v>
      </c>
      <c r="D48" s="31"/>
      <c r="E48" s="31"/>
      <c r="F48" s="18" t="e">
        <f t="shared" si="2"/>
        <v>#REF!</v>
      </c>
      <c r="G48" s="163">
        <v>38654902</v>
      </c>
      <c r="H48" s="53" t="e">
        <f t="shared" si="0"/>
        <v>#REF!</v>
      </c>
      <c r="L48" s="122"/>
      <c r="M48" s="122"/>
    </row>
    <row r="49" spans="2:9" ht="15.75" hidden="1" thickBot="1">
      <c r="B49" s="32" t="s">
        <v>207</v>
      </c>
      <c r="C49" s="143">
        <f>+C50</f>
        <v>677154149.584097</v>
      </c>
      <c r="D49" s="33">
        <f>+D50</f>
        <v>0</v>
      </c>
      <c r="E49" s="33">
        <f>+E50</f>
        <v>0</v>
      </c>
      <c r="F49" s="34">
        <f>+F50</f>
        <v>677154149.584097</v>
      </c>
      <c r="G49" s="164">
        <f>+G50</f>
        <v>564719999.9</v>
      </c>
      <c r="H49" s="57">
        <f t="shared" si="0"/>
        <v>0.19909716267177854</v>
      </c>
      <c r="I49" s="121" t="e">
        <f>+F49/F112</f>
        <v>#REF!</v>
      </c>
    </row>
    <row r="50" spans="2:8" ht="15" hidden="1">
      <c r="B50" s="35" t="s">
        <v>79</v>
      </c>
      <c r="C50" s="144">
        <f>(+C11+C12)*10%</f>
        <v>677154149.584097</v>
      </c>
      <c r="D50" s="36">
        <f>(+D11+D12)*10%</f>
        <v>0</v>
      </c>
      <c r="E50" s="36">
        <f>(+E11+E12)*10%</f>
        <v>0</v>
      </c>
      <c r="F50" s="37">
        <f>(+F11+F12)*10%</f>
        <v>677154149.584097</v>
      </c>
      <c r="G50" s="165">
        <f>(+G11+G12)*10%</f>
        <v>564719999.9</v>
      </c>
      <c r="H50" s="58">
        <f t="shared" si="0"/>
        <v>0.19909716267177854</v>
      </c>
    </row>
    <row r="51" spans="2:16" ht="15" hidden="1">
      <c r="B51" s="24" t="s">
        <v>208</v>
      </c>
      <c r="C51" s="137" t="e">
        <f>+C52+C64+C82</f>
        <v>#REF!</v>
      </c>
      <c r="D51" s="21">
        <f>+D52+D64+D82</f>
        <v>0</v>
      </c>
      <c r="E51" s="21">
        <f>+E52+E64+E82</f>
        <v>0</v>
      </c>
      <c r="F51" s="22" t="e">
        <f>+F52+F64+F82</f>
        <v>#REF!</v>
      </c>
      <c r="G51" s="158">
        <f>+G52+G64+G82</f>
        <v>3189835256</v>
      </c>
      <c r="H51" s="54" t="e">
        <f t="shared" si="0"/>
        <v>#REF!</v>
      </c>
      <c r="I51" s="121" t="e">
        <f>+F51/F112</f>
        <v>#REF!</v>
      </c>
      <c r="L51" s="123"/>
      <c r="M51" s="123"/>
      <c r="O51" s="124"/>
      <c r="P51" s="176"/>
    </row>
    <row r="52" spans="2:15" ht="15" hidden="1">
      <c r="B52" s="25" t="s">
        <v>43</v>
      </c>
      <c r="C52" s="140" t="e">
        <f>SUM(C53:C63)</f>
        <v>#REF!</v>
      </c>
      <c r="D52" s="29">
        <f>SUM(D53:D63)</f>
        <v>0</v>
      </c>
      <c r="E52" s="29">
        <f>SUM(E53:E63)</f>
        <v>0</v>
      </c>
      <c r="F52" s="38" t="e">
        <f>SUM(F53:F63)</f>
        <v>#REF!</v>
      </c>
      <c r="G52" s="162">
        <f>SUM(G53:G63)</f>
        <v>1191732668</v>
      </c>
      <c r="H52" s="54" t="e">
        <f t="shared" si="0"/>
        <v>#REF!</v>
      </c>
      <c r="L52" s="123"/>
      <c r="M52" s="123"/>
      <c r="O52" s="122"/>
    </row>
    <row r="53" spans="2:13" ht="15" hidden="1">
      <c r="B53" s="27" t="s">
        <v>63</v>
      </c>
      <c r="C53" s="139">
        <f>+'NOMINA 2022 PLANTA'!J103</f>
        <v>1302189340</v>
      </c>
      <c r="D53" s="17"/>
      <c r="E53" s="28"/>
      <c r="F53" s="39">
        <f aca="true" t="shared" si="3" ref="F53:F63">SUM(C53:E53)</f>
        <v>1302189340</v>
      </c>
      <c r="G53" s="166">
        <v>710682861</v>
      </c>
      <c r="H53" s="55">
        <f t="shared" si="0"/>
        <v>0.8323072237420961</v>
      </c>
      <c r="L53" s="123"/>
      <c r="M53" s="123"/>
    </row>
    <row r="54" spans="2:13" ht="15" hidden="1">
      <c r="B54" s="27" t="s">
        <v>64</v>
      </c>
      <c r="C54" s="139">
        <f>+'NOMINA 2022 PLANTA'!N103</f>
        <v>53780909</v>
      </c>
      <c r="D54" s="17"/>
      <c r="E54" s="28"/>
      <c r="F54" s="39">
        <f t="shared" si="3"/>
        <v>53780909</v>
      </c>
      <c r="G54" s="167">
        <v>29178232</v>
      </c>
      <c r="H54" s="53">
        <f t="shared" si="0"/>
        <v>0.8431860093510807</v>
      </c>
      <c r="L54" s="123"/>
      <c r="M54" s="123"/>
    </row>
    <row r="55" spans="2:13" ht="15" hidden="1">
      <c r="B55" s="27" t="s">
        <v>88</v>
      </c>
      <c r="C55" s="139">
        <f>ROUND(+'NOMINA 2022 PLANTA'!H103,0)</f>
        <v>1333869</v>
      </c>
      <c r="D55" s="17"/>
      <c r="E55" s="28"/>
      <c r="F55" s="39">
        <f t="shared" si="3"/>
        <v>1333869</v>
      </c>
      <c r="G55" s="167">
        <v>1219207</v>
      </c>
      <c r="H55" s="53">
        <f t="shared" si="0"/>
        <v>0.09404637604606929</v>
      </c>
      <c r="L55" s="151"/>
      <c r="M55" s="123"/>
    </row>
    <row r="56" spans="2:13" ht="15" hidden="1">
      <c r="B56" s="27" t="s">
        <v>65</v>
      </c>
      <c r="C56" s="139">
        <f>+'NOMINA 2022 PLANTA'!M103</f>
        <v>107672986</v>
      </c>
      <c r="D56" s="17"/>
      <c r="E56" s="28"/>
      <c r="F56" s="39">
        <f t="shared" si="3"/>
        <v>107672986</v>
      </c>
      <c r="G56" s="167">
        <v>58458068</v>
      </c>
      <c r="H56" s="53">
        <f t="shared" si="0"/>
        <v>0.8418841005830024</v>
      </c>
      <c r="M56" s="123"/>
    </row>
    <row r="57" spans="2:13" ht="15" hidden="1">
      <c r="B57" s="27" t="s">
        <v>44</v>
      </c>
      <c r="C57" s="145" t="e">
        <f>+#REF!+#REF!+#REF!+#REF!+#REF!+#REF!</f>
        <v>#REF!</v>
      </c>
      <c r="D57" s="126"/>
      <c r="E57" s="127"/>
      <c r="F57" s="128" t="e">
        <f t="shared" si="3"/>
        <v>#REF!</v>
      </c>
      <c r="G57" s="168">
        <v>103667932</v>
      </c>
      <c r="H57" s="129" t="e">
        <f t="shared" si="0"/>
        <v>#REF!</v>
      </c>
      <c r="L57" s="151"/>
      <c r="M57" s="123"/>
    </row>
    <row r="58" spans="2:13" ht="15" hidden="1">
      <c r="B58" s="27" t="s">
        <v>66</v>
      </c>
      <c r="C58" s="139">
        <f>+'NOMINA 2022 PLANTA'!V103</f>
        <v>1500000</v>
      </c>
      <c r="D58" s="28"/>
      <c r="E58" s="28"/>
      <c r="F58" s="39">
        <f t="shared" si="3"/>
        <v>1500000</v>
      </c>
      <c r="G58" s="167">
        <v>705300</v>
      </c>
      <c r="H58" s="53">
        <f t="shared" si="0"/>
        <v>1.126754572522331</v>
      </c>
      <c r="L58" s="123"/>
      <c r="M58" s="123"/>
    </row>
    <row r="59" spans="2:8" ht="15" hidden="1">
      <c r="B59" s="27" t="s">
        <v>67</v>
      </c>
      <c r="C59" s="139">
        <f>+'NOMINA 2022 PLANTA'!K103</f>
        <v>107672986</v>
      </c>
      <c r="D59" s="17"/>
      <c r="E59" s="28"/>
      <c r="F59" s="39">
        <f t="shared" si="3"/>
        <v>107672986</v>
      </c>
      <c r="G59" s="167">
        <v>58458068</v>
      </c>
      <c r="H59" s="53">
        <f t="shared" si="0"/>
        <v>0.8418841005830024</v>
      </c>
    </row>
    <row r="60" spans="2:8" ht="15" hidden="1">
      <c r="B60" s="27" t="s">
        <v>68</v>
      </c>
      <c r="C60" s="139">
        <f>+'NOMINA 2022 PLANTA'!L103</f>
        <v>12924000</v>
      </c>
      <c r="D60" s="17"/>
      <c r="E60" s="28"/>
      <c r="F60" s="39">
        <f t="shared" si="3"/>
        <v>12924000</v>
      </c>
      <c r="G60" s="167">
        <v>7023000</v>
      </c>
      <c r="H60" s="53">
        <f t="shared" si="0"/>
        <v>0.8402392140111064</v>
      </c>
    </row>
    <row r="61" spans="2:8" ht="18" customHeight="1" hidden="1">
      <c r="B61" s="27" t="s">
        <v>69</v>
      </c>
      <c r="C61" s="139">
        <f>+'NOMINA 2022 PLANTA'!O103+'NOMINA 2022 PLANTA'!P103+'NOMINA 2022 PLANTA'!Q103</f>
        <v>311446000</v>
      </c>
      <c r="D61" s="17"/>
      <c r="E61" s="28"/>
      <c r="F61" s="39">
        <f t="shared" si="3"/>
        <v>311446000</v>
      </c>
      <c r="G61" s="167">
        <v>156696000</v>
      </c>
      <c r="H61" s="53">
        <f t="shared" si="0"/>
        <v>0.98758104865472</v>
      </c>
    </row>
    <row r="62" spans="2:8" ht="15" hidden="1">
      <c r="B62" s="27" t="s">
        <v>70</v>
      </c>
      <c r="C62" s="139">
        <f>+'NOMINA 2022 PLANTA'!R103</f>
        <v>53772000</v>
      </c>
      <c r="D62" s="17"/>
      <c r="E62" s="28"/>
      <c r="F62" s="39">
        <f t="shared" si="3"/>
        <v>53772000</v>
      </c>
      <c r="G62" s="167">
        <v>29182000</v>
      </c>
      <c r="H62" s="53">
        <f t="shared" si="0"/>
        <v>0.8426427249674456</v>
      </c>
    </row>
    <row r="63" spans="2:8" ht="15" hidden="1">
      <c r="B63" s="27" t="s">
        <v>71</v>
      </c>
      <c r="C63" s="139">
        <f>+'NOMINA 2022 PLANTA'!S103+'NOMINA 2022 PLANTA'!T103</f>
        <v>67233000</v>
      </c>
      <c r="D63" s="17"/>
      <c r="E63" s="28"/>
      <c r="F63" s="39">
        <f t="shared" si="3"/>
        <v>67233000</v>
      </c>
      <c r="G63" s="169">
        <v>36462000</v>
      </c>
      <c r="H63" s="56">
        <f t="shared" si="0"/>
        <v>0.8439196972190225</v>
      </c>
    </row>
    <row r="64" spans="2:15" ht="15" hidden="1">
      <c r="B64" s="25" t="s">
        <v>45</v>
      </c>
      <c r="C64" s="140" t="e">
        <f>SUM(C65:C81)</f>
        <v>#REF!</v>
      </c>
      <c r="D64" s="29">
        <f>SUM(D65:D81)</f>
        <v>0</v>
      </c>
      <c r="E64" s="29">
        <f>SUM(E65:E81)</f>
        <v>0</v>
      </c>
      <c r="F64" s="38" t="e">
        <f>SUM(F65:F81)</f>
        <v>#REF!</v>
      </c>
      <c r="G64" s="162">
        <f>SUM(G65:G81)</f>
        <v>676943740</v>
      </c>
      <c r="H64" s="54" t="e">
        <f t="shared" si="0"/>
        <v>#REF!</v>
      </c>
      <c r="L64" s="130"/>
      <c r="O64" s="122"/>
    </row>
    <row r="65" spans="2:8" ht="15" hidden="1">
      <c r="B65" s="27" t="s">
        <v>244</v>
      </c>
      <c r="C65" s="139" t="e">
        <f>+#REF!+#REF!+#REF!+#REF!+#REF!+#REF!</f>
        <v>#REF!</v>
      </c>
      <c r="D65" s="17"/>
      <c r="E65" s="28"/>
      <c r="F65" s="18" t="e">
        <f>SUM(C65:E65)</f>
        <v>#REF!</v>
      </c>
      <c r="G65" s="170">
        <v>46795725</v>
      </c>
      <c r="H65" s="55" t="e">
        <f t="shared" si="0"/>
        <v>#REF!</v>
      </c>
    </row>
    <row r="66" spans="2:8" ht="15" hidden="1">
      <c r="B66" s="27" t="s">
        <v>240</v>
      </c>
      <c r="C66" s="139" t="e">
        <f>+#REF!+#REF!</f>
        <v>#REF!</v>
      </c>
      <c r="D66" s="17"/>
      <c r="E66" s="28"/>
      <c r="F66" s="18" t="e">
        <f aca="true" t="shared" si="4" ref="F66:F81">SUM(C66:E66)</f>
        <v>#REF!</v>
      </c>
      <c r="G66" s="170">
        <v>60500000</v>
      </c>
      <c r="H66" s="55" t="e">
        <f t="shared" si="0"/>
        <v>#REF!</v>
      </c>
    </row>
    <row r="67" spans="2:12" ht="15" hidden="1">
      <c r="B67" s="27" t="s">
        <v>72</v>
      </c>
      <c r="C67" s="139">
        <v>0</v>
      </c>
      <c r="D67" s="17"/>
      <c r="E67" s="28"/>
      <c r="F67" s="18">
        <f t="shared" si="4"/>
        <v>0</v>
      </c>
      <c r="G67" s="157">
        <v>0</v>
      </c>
      <c r="H67" s="53" t="e">
        <f t="shared" si="0"/>
        <v>#DIV/0!</v>
      </c>
      <c r="L67" s="130"/>
    </row>
    <row r="68" spans="2:12" ht="15" hidden="1">
      <c r="B68" s="27" t="s">
        <v>73</v>
      </c>
      <c r="C68" s="139" t="e">
        <f>+#REF!+#REF!+#REF!+#REF!+#REF!</f>
        <v>#REF!</v>
      </c>
      <c r="D68" s="17"/>
      <c r="E68" s="28"/>
      <c r="F68" s="18" t="e">
        <f t="shared" si="4"/>
        <v>#REF!</v>
      </c>
      <c r="G68" s="157">
        <v>6721000</v>
      </c>
      <c r="H68" s="53" t="e">
        <f t="shared" si="0"/>
        <v>#REF!</v>
      </c>
      <c r="L68" s="123"/>
    </row>
    <row r="69" spans="2:8" ht="15" hidden="1">
      <c r="B69" s="27" t="s">
        <v>29</v>
      </c>
      <c r="C69" s="139" t="e">
        <f>+#REF!+#REF!</f>
        <v>#REF!</v>
      </c>
      <c r="D69" s="17"/>
      <c r="E69" s="28"/>
      <c r="F69" s="18" t="e">
        <f t="shared" si="4"/>
        <v>#REF!</v>
      </c>
      <c r="G69" s="157">
        <v>2732400</v>
      </c>
      <c r="H69" s="53" t="e">
        <f t="shared" si="0"/>
        <v>#REF!</v>
      </c>
    </row>
    <row r="70" spans="2:8" ht="15" hidden="1">
      <c r="B70" s="27" t="s">
        <v>30</v>
      </c>
      <c r="C70" s="139" t="e">
        <f>+#REF!+#REF!+#REF!+#REF!+#REF!+#REF!</f>
        <v>#REF!</v>
      </c>
      <c r="D70" s="17"/>
      <c r="E70" s="28"/>
      <c r="F70" s="18" t="e">
        <f t="shared" si="4"/>
        <v>#REF!</v>
      </c>
      <c r="G70" s="157">
        <v>180075881</v>
      </c>
      <c r="H70" s="53" t="e">
        <f t="shared" si="0"/>
        <v>#REF!</v>
      </c>
    </row>
    <row r="71" spans="2:13" ht="15" hidden="1">
      <c r="B71" s="27" t="s">
        <v>31</v>
      </c>
      <c r="C71" s="139" t="e">
        <f>+#REF!+#REF!+#REF!+#REF!+#REF!+#REF!+#REF!+#REF!+#REF!+#REF!</f>
        <v>#REF!</v>
      </c>
      <c r="D71" s="17"/>
      <c r="E71" s="28"/>
      <c r="F71" s="18" t="e">
        <f t="shared" si="4"/>
        <v>#REF!</v>
      </c>
      <c r="G71" s="157">
        <v>273692798</v>
      </c>
      <c r="H71" s="53" t="e">
        <f t="shared" si="0"/>
        <v>#REF!</v>
      </c>
      <c r="L71" s="125"/>
      <c r="M71" s="125"/>
    </row>
    <row r="72" spans="2:8" ht="15" hidden="1">
      <c r="B72" s="27" t="s">
        <v>74</v>
      </c>
      <c r="C72" s="139" t="e">
        <f>+#REF!</f>
        <v>#REF!</v>
      </c>
      <c r="D72" s="17"/>
      <c r="E72" s="28"/>
      <c r="F72" s="18" t="e">
        <f t="shared" si="4"/>
        <v>#REF!</v>
      </c>
      <c r="G72" s="157">
        <v>24140000</v>
      </c>
      <c r="H72" s="53" t="e">
        <f t="shared" si="0"/>
        <v>#REF!</v>
      </c>
    </row>
    <row r="73" spans="2:8" ht="15" hidden="1">
      <c r="B73" s="27" t="s">
        <v>32</v>
      </c>
      <c r="C73" s="139" t="e">
        <f>+#REF!+#REF!+#REF!+#REF!+#REF!</f>
        <v>#REF!</v>
      </c>
      <c r="D73" s="17"/>
      <c r="E73" s="28"/>
      <c r="F73" s="18" t="e">
        <f t="shared" si="4"/>
        <v>#REF!</v>
      </c>
      <c r="G73" s="157">
        <v>68704000</v>
      </c>
      <c r="H73" s="53" t="e">
        <f t="shared" si="0"/>
        <v>#REF!</v>
      </c>
    </row>
    <row r="74" spans="2:8" ht="15" hidden="1">
      <c r="B74" s="27" t="s">
        <v>183</v>
      </c>
      <c r="C74" s="139" t="e">
        <f>+#REF!+#REF!+#REF!+#REF!</f>
        <v>#REF!</v>
      </c>
      <c r="D74" s="17"/>
      <c r="E74" s="28"/>
      <c r="F74" s="18" t="e">
        <f t="shared" si="4"/>
        <v>#REF!</v>
      </c>
      <c r="G74" s="157">
        <v>1724816</v>
      </c>
      <c r="H74" s="53" t="e">
        <f t="shared" si="0"/>
        <v>#REF!</v>
      </c>
    </row>
    <row r="75" spans="2:8" ht="15" hidden="1">
      <c r="B75" s="27" t="s">
        <v>75</v>
      </c>
      <c r="C75" s="139" t="e">
        <f>+#REF!+#REF!+#REF!+#REF!+#REF!</f>
        <v>#REF!</v>
      </c>
      <c r="D75" s="17"/>
      <c r="E75" s="28"/>
      <c r="F75" s="18" t="e">
        <f t="shared" si="4"/>
        <v>#REF!</v>
      </c>
      <c r="G75" s="157">
        <v>11857120</v>
      </c>
      <c r="H75" s="53" t="e">
        <f t="shared" si="0"/>
        <v>#REF!</v>
      </c>
    </row>
    <row r="76" spans="2:8" ht="15" hidden="1">
      <c r="B76" s="27" t="s">
        <v>76</v>
      </c>
      <c r="C76" s="139">
        <v>0</v>
      </c>
      <c r="D76" s="17"/>
      <c r="E76" s="28"/>
      <c r="F76" s="18">
        <f t="shared" si="4"/>
        <v>0</v>
      </c>
      <c r="G76" s="157">
        <v>0</v>
      </c>
      <c r="H76" s="53" t="e">
        <f t="shared" si="0"/>
        <v>#DIV/0!</v>
      </c>
    </row>
    <row r="77" spans="2:8" ht="15" hidden="1">
      <c r="B77" s="27" t="s">
        <v>77</v>
      </c>
      <c r="C77" s="139" t="e">
        <f>+#REF!</f>
        <v>#REF!</v>
      </c>
      <c r="D77" s="17"/>
      <c r="E77" s="28"/>
      <c r="F77" s="18" t="e">
        <f t="shared" si="4"/>
        <v>#REF!</v>
      </c>
      <c r="G77" s="159">
        <v>0</v>
      </c>
      <c r="H77" s="53">
        <v>1</v>
      </c>
    </row>
    <row r="78" spans="2:8" ht="15" hidden="1">
      <c r="B78" s="27" t="s">
        <v>95</v>
      </c>
      <c r="C78" s="146">
        <v>0</v>
      </c>
      <c r="D78" s="17"/>
      <c r="E78" s="28"/>
      <c r="F78" s="18">
        <f t="shared" si="4"/>
        <v>0</v>
      </c>
      <c r="G78" s="159">
        <v>0</v>
      </c>
      <c r="H78" s="53" t="e">
        <f aca="true" t="shared" si="5" ref="H78:H114">+(F78-G78)/G78</f>
        <v>#DIV/0!</v>
      </c>
    </row>
    <row r="79" spans="2:8" ht="15" hidden="1">
      <c r="B79" s="27" t="s">
        <v>184</v>
      </c>
      <c r="C79" s="145" t="e">
        <f>+#REF!+#REF!+#REF!+#REF!+#REF!</f>
        <v>#REF!</v>
      </c>
      <c r="D79" s="126"/>
      <c r="E79" s="127"/>
      <c r="F79" s="49" t="e">
        <f t="shared" si="4"/>
        <v>#REF!</v>
      </c>
      <c r="G79" s="157">
        <v>0</v>
      </c>
      <c r="H79" s="129">
        <v>1</v>
      </c>
    </row>
    <row r="80" spans="2:8" ht="15" hidden="1">
      <c r="B80" s="27" t="s">
        <v>46</v>
      </c>
      <c r="C80" s="139">
        <v>0</v>
      </c>
      <c r="D80" s="28"/>
      <c r="E80" s="28"/>
      <c r="F80" s="18">
        <f t="shared" si="4"/>
        <v>0</v>
      </c>
      <c r="G80" s="159">
        <v>0</v>
      </c>
      <c r="H80" s="53" t="e">
        <f t="shared" si="5"/>
        <v>#DIV/0!</v>
      </c>
    </row>
    <row r="81" spans="2:8" ht="15" hidden="1">
      <c r="B81" s="27" t="s">
        <v>78</v>
      </c>
      <c r="C81" s="139">
        <v>0</v>
      </c>
      <c r="D81" s="28"/>
      <c r="E81" s="28"/>
      <c r="F81" s="18">
        <f t="shared" si="4"/>
        <v>0</v>
      </c>
      <c r="G81" s="161">
        <v>0</v>
      </c>
      <c r="H81" s="53" t="e">
        <f t="shared" si="5"/>
        <v>#DIV/0!</v>
      </c>
    </row>
    <row r="82" spans="2:8" ht="15" hidden="1">
      <c r="B82" s="25" t="s">
        <v>80</v>
      </c>
      <c r="C82" s="140" t="e">
        <f>+C83+C102+C107</f>
        <v>#REF!</v>
      </c>
      <c r="D82" s="29">
        <f>+D83+D102+D107</f>
        <v>0</v>
      </c>
      <c r="E82" s="29">
        <f>+E83+E102+E107</f>
        <v>0</v>
      </c>
      <c r="F82" s="29" t="e">
        <f>+F83+F102+F107</f>
        <v>#REF!</v>
      </c>
      <c r="G82" s="162">
        <f>+G83+G102+G107</f>
        <v>1321158848</v>
      </c>
      <c r="H82" s="54" t="e">
        <f t="shared" si="5"/>
        <v>#REF!</v>
      </c>
    </row>
    <row r="83" spans="2:8" ht="15" hidden="1">
      <c r="B83" s="41" t="s">
        <v>96</v>
      </c>
      <c r="C83" s="140" t="e">
        <f>SUM(C84:C101)</f>
        <v>#REF!</v>
      </c>
      <c r="D83" s="29">
        <f>SUM(D84:D101)</f>
        <v>0</v>
      </c>
      <c r="E83" s="29">
        <f>SUM(E84:E101)</f>
        <v>0</v>
      </c>
      <c r="F83" s="29" t="e">
        <f>SUM(F84:F101)</f>
        <v>#REF!</v>
      </c>
      <c r="G83" s="162">
        <f>SUM(G84:G101)</f>
        <v>361158848</v>
      </c>
      <c r="H83" s="54" t="e">
        <f>+(F83-G83)/G83</f>
        <v>#REF!</v>
      </c>
    </row>
    <row r="84" spans="2:8" ht="15" hidden="1">
      <c r="B84" s="26" t="s">
        <v>181</v>
      </c>
      <c r="C84" s="146" t="e">
        <f>+#REF!+#REF!</f>
        <v>#REF!</v>
      </c>
      <c r="D84" s="40"/>
      <c r="E84" s="40"/>
      <c r="F84" s="18" t="e">
        <f>SUM(C84:E84)</f>
        <v>#REF!</v>
      </c>
      <c r="G84" s="160">
        <v>84700000</v>
      </c>
      <c r="H84" s="55" t="e">
        <f t="shared" si="5"/>
        <v>#REF!</v>
      </c>
    </row>
    <row r="85" spans="2:8" ht="15" hidden="1">
      <c r="B85" s="26" t="s">
        <v>292</v>
      </c>
      <c r="C85" s="146" t="e">
        <f>+#REF!+#REF!</f>
        <v>#REF!</v>
      </c>
      <c r="D85" s="40"/>
      <c r="E85" s="40"/>
      <c r="F85" s="18" t="e">
        <f aca="true" t="shared" si="6" ref="F85:F101">SUM(C85:E85)</f>
        <v>#REF!</v>
      </c>
      <c r="G85" s="160"/>
      <c r="H85" s="55">
        <v>1</v>
      </c>
    </row>
    <row r="86" spans="2:8" ht="15" hidden="1">
      <c r="B86" s="26" t="s">
        <v>293</v>
      </c>
      <c r="C86" s="146" t="e">
        <f>+#REF!</f>
        <v>#REF!</v>
      </c>
      <c r="D86" s="40"/>
      <c r="E86" s="40"/>
      <c r="F86" s="18" t="e">
        <f t="shared" si="6"/>
        <v>#REF!</v>
      </c>
      <c r="G86" s="160"/>
      <c r="H86" s="55">
        <v>1</v>
      </c>
    </row>
    <row r="87" spans="2:8" ht="15" hidden="1">
      <c r="B87" s="26" t="s">
        <v>263</v>
      </c>
      <c r="C87" s="139" t="e">
        <f>+#REF!</f>
        <v>#REF!</v>
      </c>
      <c r="D87" s="28"/>
      <c r="E87" s="28"/>
      <c r="F87" s="18" t="e">
        <f>SUM(C87:E87)</f>
        <v>#REF!</v>
      </c>
      <c r="G87" s="159">
        <v>27500000</v>
      </c>
      <c r="H87" s="55" t="e">
        <f>+(F87-G87)/G87</f>
        <v>#REF!</v>
      </c>
    </row>
    <row r="88" spans="2:8" ht="15" hidden="1">
      <c r="B88" s="26" t="s">
        <v>241</v>
      </c>
      <c r="C88" s="139">
        <v>0</v>
      </c>
      <c r="D88" s="28"/>
      <c r="E88" s="28"/>
      <c r="F88" s="18">
        <f t="shared" si="6"/>
        <v>0</v>
      </c>
      <c r="G88" s="159">
        <v>16920000</v>
      </c>
      <c r="H88" s="55">
        <f t="shared" si="5"/>
        <v>-1</v>
      </c>
    </row>
    <row r="89" spans="2:8" ht="15" hidden="1">
      <c r="B89" s="26" t="s">
        <v>182</v>
      </c>
      <c r="C89" s="139" t="e">
        <f>+#REF!+#REF!</f>
        <v>#REF!</v>
      </c>
      <c r="D89" s="28"/>
      <c r="E89" s="28"/>
      <c r="F89" s="18" t="e">
        <f t="shared" si="6"/>
        <v>#REF!</v>
      </c>
      <c r="G89" s="159">
        <v>120800000</v>
      </c>
      <c r="H89" s="55" t="e">
        <f t="shared" si="5"/>
        <v>#REF!</v>
      </c>
    </row>
    <row r="90" spans="2:8" ht="15" hidden="1">
      <c r="B90" s="26" t="s">
        <v>296</v>
      </c>
      <c r="C90" s="139" t="e">
        <f>+#REF!</f>
        <v>#REF!</v>
      </c>
      <c r="D90" s="28"/>
      <c r="E90" s="28"/>
      <c r="F90" s="18" t="e">
        <f t="shared" si="6"/>
        <v>#REF!</v>
      </c>
      <c r="G90" s="159">
        <v>0</v>
      </c>
      <c r="H90" s="55">
        <v>1</v>
      </c>
    </row>
    <row r="91" spans="2:8" ht="15" hidden="1">
      <c r="B91" s="26" t="s">
        <v>246</v>
      </c>
      <c r="C91" s="139">
        <v>0</v>
      </c>
      <c r="D91" s="28"/>
      <c r="E91" s="28"/>
      <c r="F91" s="18">
        <f t="shared" si="6"/>
        <v>0</v>
      </c>
      <c r="G91" s="159">
        <v>35000000</v>
      </c>
      <c r="H91" s="55">
        <f t="shared" si="5"/>
        <v>-1</v>
      </c>
    </row>
    <row r="92" spans="2:8" ht="15" hidden="1">
      <c r="B92" s="26" t="s">
        <v>242</v>
      </c>
      <c r="C92" s="139">
        <v>0</v>
      </c>
      <c r="D92" s="28"/>
      <c r="E92" s="28"/>
      <c r="F92" s="18">
        <f t="shared" si="6"/>
        <v>0</v>
      </c>
      <c r="G92" s="159">
        <v>8280000</v>
      </c>
      <c r="H92" s="55">
        <f t="shared" si="5"/>
        <v>-1</v>
      </c>
    </row>
    <row r="93" spans="2:8" ht="15" hidden="1">
      <c r="B93" s="26" t="s">
        <v>327</v>
      </c>
      <c r="C93" s="139" t="e">
        <f>+#REF!</f>
        <v>#REF!</v>
      </c>
      <c r="D93" s="28"/>
      <c r="E93" s="28"/>
      <c r="F93" s="18" t="e">
        <f t="shared" si="6"/>
        <v>#REF!</v>
      </c>
      <c r="G93" s="159"/>
      <c r="H93" s="55">
        <v>1</v>
      </c>
    </row>
    <row r="94" spans="2:8" ht="15" hidden="1">
      <c r="B94" s="26" t="s">
        <v>260</v>
      </c>
      <c r="C94" s="139">
        <v>0</v>
      </c>
      <c r="D94" s="28"/>
      <c r="E94" s="28"/>
      <c r="F94" s="18">
        <f t="shared" si="6"/>
        <v>0</v>
      </c>
      <c r="G94" s="159">
        <v>10000000</v>
      </c>
      <c r="H94" s="55">
        <f t="shared" si="5"/>
        <v>-1</v>
      </c>
    </row>
    <row r="95" spans="2:8" ht="15" hidden="1">
      <c r="B95" s="26" t="s">
        <v>297</v>
      </c>
      <c r="C95" s="139">
        <v>0</v>
      </c>
      <c r="D95" s="28"/>
      <c r="E95" s="28"/>
      <c r="F95" s="18">
        <f t="shared" si="6"/>
        <v>0</v>
      </c>
      <c r="G95" s="159"/>
      <c r="H95" s="55">
        <v>1</v>
      </c>
    </row>
    <row r="96" spans="2:8" ht="15" hidden="1">
      <c r="B96" s="26" t="s">
        <v>247</v>
      </c>
      <c r="C96" s="139">
        <v>0</v>
      </c>
      <c r="D96" s="28"/>
      <c r="E96" s="28"/>
      <c r="F96" s="18">
        <f t="shared" si="6"/>
        <v>0</v>
      </c>
      <c r="G96" s="159">
        <v>21000000</v>
      </c>
      <c r="H96" s="55">
        <f t="shared" si="5"/>
        <v>-1</v>
      </c>
    </row>
    <row r="97" spans="2:8" ht="15" hidden="1">
      <c r="B97" s="26" t="s">
        <v>267</v>
      </c>
      <c r="C97" s="139">
        <v>0</v>
      </c>
      <c r="D97" s="28"/>
      <c r="E97" s="28"/>
      <c r="F97" s="18">
        <f t="shared" si="6"/>
        <v>0</v>
      </c>
      <c r="G97" s="159">
        <v>6000000</v>
      </c>
      <c r="H97" s="55">
        <f t="shared" si="5"/>
        <v>-1</v>
      </c>
    </row>
    <row r="98" spans="2:8" ht="15" hidden="1">
      <c r="B98" s="26" t="s">
        <v>294</v>
      </c>
      <c r="C98" s="139">
        <v>0</v>
      </c>
      <c r="D98" s="28"/>
      <c r="E98" s="28"/>
      <c r="F98" s="18">
        <f t="shared" si="6"/>
        <v>0</v>
      </c>
      <c r="G98" s="159">
        <v>0</v>
      </c>
      <c r="H98" s="55">
        <v>1</v>
      </c>
    </row>
    <row r="99" spans="2:8" ht="15" hidden="1">
      <c r="B99" s="26" t="s">
        <v>264</v>
      </c>
      <c r="C99" s="139">
        <v>0</v>
      </c>
      <c r="D99" s="28"/>
      <c r="E99" s="28"/>
      <c r="F99" s="18">
        <f t="shared" si="6"/>
        <v>0</v>
      </c>
      <c r="G99" s="159">
        <v>9158848</v>
      </c>
      <c r="H99" s="55">
        <f t="shared" si="5"/>
        <v>-1</v>
      </c>
    </row>
    <row r="100" spans="2:8" ht="15" hidden="1">
      <c r="B100" s="26" t="s">
        <v>265</v>
      </c>
      <c r="C100" s="139" t="e">
        <f>+#REF!</f>
        <v>#REF!</v>
      </c>
      <c r="D100" s="28"/>
      <c r="E100" s="28"/>
      <c r="F100" s="18" t="e">
        <f t="shared" si="6"/>
        <v>#REF!</v>
      </c>
      <c r="G100" s="159">
        <v>21800000</v>
      </c>
      <c r="H100" s="55" t="e">
        <f t="shared" si="5"/>
        <v>#REF!</v>
      </c>
    </row>
    <row r="101" spans="2:8" ht="15" hidden="1">
      <c r="B101" s="26" t="s">
        <v>298</v>
      </c>
      <c r="C101" s="139">
        <v>0</v>
      </c>
      <c r="D101" s="28"/>
      <c r="E101" s="28"/>
      <c r="F101" s="18">
        <f t="shared" si="6"/>
        <v>0</v>
      </c>
      <c r="G101" s="159">
        <v>0</v>
      </c>
      <c r="H101" s="55">
        <v>1</v>
      </c>
    </row>
    <row r="102" spans="2:8" ht="15" hidden="1">
      <c r="B102" s="41" t="s">
        <v>209</v>
      </c>
      <c r="C102" s="140" t="e">
        <f>SUM(C103:C106)</f>
        <v>#REF!</v>
      </c>
      <c r="D102" s="29">
        <f>SUM(D103:D106)</f>
        <v>0</v>
      </c>
      <c r="E102" s="29">
        <f>SUM(E103:E106)</f>
        <v>0</v>
      </c>
      <c r="F102" s="38" t="e">
        <f>SUM(F103:F106)</f>
        <v>#REF!</v>
      </c>
      <c r="G102" s="162">
        <f>+SUM(G103:G106)</f>
        <v>960000000</v>
      </c>
      <c r="H102" s="54" t="e">
        <f t="shared" si="5"/>
        <v>#REF!</v>
      </c>
    </row>
    <row r="103" spans="2:8" ht="15" hidden="1">
      <c r="B103" s="26" t="s">
        <v>150</v>
      </c>
      <c r="C103" s="139" t="e">
        <f>+#REF!</f>
        <v>#REF!</v>
      </c>
      <c r="D103" s="28"/>
      <c r="E103" s="28"/>
      <c r="F103" s="18" t="e">
        <f>SUM(C103:E103)</f>
        <v>#REF!</v>
      </c>
      <c r="G103" s="160">
        <v>570000000</v>
      </c>
      <c r="H103" s="55" t="e">
        <f t="shared" si="5"/>
        <v>#REF!</v>
      </c>
    </row>
    <row r="104" spans="2:8" ht="15" hidden="1">
      <c r="B104" s="26" t="s">
        <v>151</v>
      </c>
      <c r="C104" s="139" t="e">
        <f>+#REF!</f>
        <v>#REF!</v>
      </c>
      <c r="D104" s="28"/>
      <c r="E104" s="28"/>
      <c r="F104" s="18" t="e">
        <f>SUM(C104:E104)</f>
        <v>#REF!</v>
      </c>
      <c r="G104" s="160">
        <v>150000000</v>
      </c>
      <c r="H104" s="55" t="e">
        <f t="shared" si="5"/>
        <v>#REF!</v>
      </c>
    </row>
    <row r="105" spans="2:8" ht="15" hidden="1">
      <c r="B105" s="26" t="s">
        <v>152</v>
      </c>
      <c r="C105" s="139" t="e">
        <f>+#REF!</f>
        <v>#REF!</v>
      </c>
      <c r="D105" s="28"/>
      <c r="E105" s="28"/>
      <c r="F105" s="18" t="e">
        <f>SUM(C105:E105)</f>
        <v>#REF!</v>
      </c>
      <c r="G105" s="159">
        <v>120000000</v>
      </c>
      <c r="H105" s="53" t="e">
        <f t="shared" si="5"/>
        <v>#REF!</v>
      </c>
    </row>
    <row r="106" spans="2:8" ht="15" hidden="1">
      <c r="B106" s="26" t="s">
        <v>243</v>
      </c>
      <c r="C106" s="139" t="e">
        <f>+#REF!</f>
        <v>#REF!</v>
      </c>
      <c r="D106" s="28"/>
      <c r="E106" s="28"/>
      <c r="F106" s="18" t="e">
        <f>SUM(C106:E106)</f>
        <v>#REF!</v>
      </c>
      <c r="G106" s="159">
        <v>120000000</v>
      </c>
      <c r="H106" s="53" t="e">
        <f t="shared" si="5"/>
        <v>#REF!</v>
      </c>
    </row>
    <row r="107" spans="2:8" ht="15" hidden="1">
      <c r="B107" s="41" t="s">
        <v>392</v>
      </c>
      <c r="C107" s="140">
        <f>SUM(C108:C111)</f>
        <v>370300000</v>
      </c>
      <c r="D107" s="29">
        <f>SUM(D108:D111)</f>
        <v>0</v>
      </c>
      <c r="E107" s="29">
        <f>SUM(E108:E111)</f>
        <v>0</v>
      </c>
      <c r="F107" s="38">
        <f>SUM(F108:F111)</f>
        <v>370300000</v>
      </c>
      <c r="G107" s="162">
        <f>SUM(G108:G111)</f>
        <v>0</v>
      </c>
      <c r="H107" s="54">
        <v>1</v>
      </c>
    </row>
    <row r="108" spans="2:8" ht="15" hidden="1">
      <c r="B108" s="26" t="s">
        <v>387</v>
      </c>
      <c r="C108" s="146">
        <v>60000000</v>
      </c>
      <c r="D108" s="40"/>
      <c r="E108" s="40"/>
      <c r="F108" s="18">
        <f>SUM(C108:E108)</f>
        <v>60000000</v>
      </c>
      <c r="G108" s="159">
        <v>0</v>
      </c>
      <c r="H108" s="53">
        <v>1</v>
      </c>
    </row>
    <row r="109" spans="2:8" ht="15" hidden="1">
      <c r="B109" s="26" t="s">
        <v>388</v>
      </c>
      <c r="C109" s="146">
        <v>60000000</v>
      </c>
      <c r="D109" s="40"/>
      <c r="E109" s="40"/>
      <c r="F109" s="18">
        <f>SUM(C109:E109)</f>
        <v>60000000</v>
      </c>
      <c r="G109" s="159">
        <v>0</v>
      </c>
      <c r="H109" s="53">
        <v>1</v>
      </c>
    </row>
    <row r="110" spans="2:8" ht="15" hidden="1">
      <c r="B110" s="26" t="s">
        <v>389</v>
      </c>
      <c r="C110" s="146">
        <v>60000000</v>
      </c>
      <c r="D110" s="40"/>
      <c r="E110" s="40"/>
      <c r="F110" s="18">
        <f>SUM(C110:E110)</f>
        <v>60000000</v>
      </c>
      <c r="G110" s="159">
        <v>0</v>
      </c>
      <c r="H110" s="53">
        <v>1</v>
      </c>
    </row>
    <row r="111" spans="2:8" ht="15.75" hidden="1" thickBot="1">
      <c r="B111" s="26" t="s">
        <v>393</v>
      </c>
      <c r="C111" s="146">
        <v>190300000</v>
      </c>
      <c r="D111" s="40"/>
      <c r="E111" s="40"/>
      <c r="F111" s="18">
        <f>SUM(C111:E111)</f>
        <v>190300000</v>
      </c>
      <c r="G111" s="159">
        <v>0</v>
      </c>
      <c r="H111" s="53">
        <v>1</v>
      </c>
    </row>
    <row r="112" spans="2:8" ht="15" hidden="1">
      <c r="B112" s="42" t="s">
        <v>210</v>
      </c>
      <c r="C112" s="147" t="e">
        <f>+C51+C20+C49</f>
        <v>#REF!</v>
      </c>
      <c r="D112" s="43">
        <f>+D51+D20+D49</f>
        <v>0</v>
      </c>
      <c r="E112" s="43">
        <f>+E51+E20+E49</f>
        <v>0</v>
      </c>
      <c r="F112" s="44" t="e">
        <f>+F51+F20+F49</f>
        <v>#REF!</v>
      </c>
      <c r="G112" s="171">
        <f>+G51+G20+G49</f>
        <v>4794542781.9</v>
      </c>
      <c r="H112" s="59" t="e">
        <f t="shared" si="5"/>
        <v>#REF!</v>
      </c>
    </row>
    <row r="113" spans="2:8" ht="15" hidden="1">
      <c r="B113" s="20" t="s">
        <v>81</v>
      </c>
      <c r="C113" s="140" t="e">
        <f>+C18-C112</f>
        <v>#REF!</v>
      </c>
      <c r="D113" s="29">
        <f>+D18-D112</f>
        <v>0</v>
      </c>
      <c r="E113" s="29">
        <f>+E18-E112</f>
        <v>0</v>
      </c>
      <c r="F113" s="38" t="e">
        <f>+F18-F112</f>
        <v>#REF!</v>
      </c>
      <c r="G113" s="172">
        <f>+G18-G112</f>
        <v>5953674351.152338</v>
      </c>
      <c r="H113" s="54" t="e">
        <f t="shared" si="5"/>
        <v>#REF!</v>
      </c>
    </row>
    <row r="114" spans="2:8" ht="15.75" hidden="1" thickBot="1">
      <c r="B114" s="45" t="s">
        <v>82</v>
      </c>
      <c r="C114" s="148" t="e">
        <f>SUM(C112:C113)</f>
        <v>#REF!</v>
      </c>
      <c r="D114" s="46">
        <f>SUM(D112:D113)</f>
        <v>0</v>
      </c>
      <c r="E114" s="46">
        <f>SUM(E112:E113)</f>
        <v>0</v>
      </c>
      <c r="F114" s="47" t="e">
        <f>SUM(F112:F113)</f>
        <v>#REF!</v>
      </c>
      <c r="G114" s="173">
        <f>SUM(G112:G113)</f>
        <v>10748217133.052338</v>
      </c>
      <c r="H114" s="60" t="e">
        <f t="shared" si="5"/>
        <v>#REF!</v>
      </c>
    </row>
    <row r="115" spans="2:10" ht="15" hidden="1">
      <c r="B115" s="4" t="s">
        <v>83</v>
      </c>
      <c r="C115" s="149" t="e">
        <f>+C18-C114</f>
        <v>#REF!</v>
      </c>
      <c r="D115" s="3">
        <f>+D18-D114</f>
        <v>0</v>
      </c>
      <c r="E115" s="3">
        <f>+E18-E114</f>
        <v>0</v>
      </c>
      <c r="F115" s="3" t="e">
        <f>+F18-F114</f>
        <v>#REF!</v>
      </c>
      <c r="J115" s="131"/>
    </row>
    <row r="116" spans="2:10" ht="15">
      <c r="B116" s="48"/>
      <c r="H116" s="150"/>
      <c r="J116" s="123"/>
    </row>
    <row r="117" spans="2:8" ht="15">
      <c r="B117" s="48"/>
      <c r="F117" s="265"/>
      <c r="H117" s="150"/>
    </row>
    <row r="118" spans="2:11" s="564" customFormat="1" ht="15">
      <c r="B118" s="571"/>
      <c r="C118" s="572"/>
      <c r="D118" s="573"/>
      <c r="E118" s="573"/>
      <c r="F118" s="573" t="s">
        <v>406</v>
      </c>
      <c r="G118" s="574" t="s">
        <v>407</v>
      </c>
      <c r="H118" s="575" t="s">
        <v>408</v>
      </c>
      <c r="I118" s="568" t="s">
        <v>410</v>
      </c>
      <c r="J118" s="569"/>
      <c r="K118" s="570"/>
    </row>
    <row r="119" spans="2:11" s="48" customFormat="1" ht="15">
      <c r="B119" s="576" t="s">
        <v>398</v>
      </c>
      <c r="C119" s="577"/>
      <c r="D119" s="578"/>
      <c r="E119" s="578"/>
      <c r="F119" s="579">
        <f>SUM(F120:F121)</f>
        <v>1520415336</v>
      </c>
      <c r="G119" s="579">
        <f>SUM(G120:G121)</f>
        <v>1114706439.300016</v>
      </c>
      <c r="H119" s="580">
        <f aca="true" t="shared" si="7" ref="H119:H130">+(F119-G119)/G119</f>
        <v>0.36396030595710066</v>
      </c>
      <c r="I119" s="565" t="e">
        <f>+F119/F133</f>
        <v>#REF!</v>
      </c>
      <c r="J119" s="566"/>
      <c r="K119" s="567"/>
    </row>
    <row r="120" spans="2:8" ht="15">
      <c r="B120" s="281" t="s">
        <v>396</v>
      </c>
      <c r="C120" s="581"/>
      <c r="D120" s="582"/>
      <c r="E120" s="582"/>
      <c r="F120" s="582">
        <v>412754508</v>
      </c>
      <c r="G120" s="582">
        <v>312491260.5714</v>
      </c>
      <c r="H120" s="583">
        <f t="shared" si="7"/>
        <v>0.32085136475581927</v>
      </c>
    </row>
    <row r="121" spans="2:8" ht="15">
      <c r="B121" s="281" t="s">
        <v>397</v>
      </c>
      <c r="C121" s="581"/>
      <c r="D121" s="582"/>
      <c r="E121" s="582"/>
      <c r="F121" s="582">
        <v>1107660828</v>
      </c>
      <c r="G121" s="582">
        <v>802215178.728616</v>
      </c>
      <c r="H121" s="583">
        <f t="shared" si="7"/>
        <v>0.38075276730049784</v>
      </c>
    </row>
    <row r="122" spans="2:8" ht="15">
      <c r="B122" s="281"/>
      <c r="C122" s="581"/>
      <c r="D122" s="582"/>
      <c r="E122" s="582"/>
      <c r="F122" s="582"/>
      <c r="G122" s="582"/>
      <c r="H122" s="583"/>
    </row>
    <row r="123" spans="2:11" s="48" customFormat="1" ht="15">
      <c r="B123" s="576" t="s">
        <v>399</v>
      </c>
      <c r="C123" s="577"/>
      <c r="D123" s="578"/>
      <c r="E123" s="578"/>
      <c r="F123" s="578">
        <v>677154149.584097</v>
      </c>
      <c r="G123" s="578">
        <v>564719999.9</v>
      </c>
      <c r="H123" s="580">
        <f t="shared" si="7"/>
        <v>0.19909716267177854</v>
      </c>
      <c r="I123" s="565" t="e">
        <f>+F123/F133</f>
        <v>#REF!</v>
      </c>
      <c r="J123" s="566"/>
      <c r="K123" s="567"/>
    </row>
    <row r="124" spans="2:8" ht="15">
      <c r="B124" s="281"/>
      <c r="C124" s="581"/>
      <c r="D124" s="582"/>
      <c r="E124" s="582"/>
      <c r="F124" s="582"/>
      <c r="G124" s="582"/>
      <c r="H124" s="583"/>
    </row>
    <row r="125" spans="2:11" s="48" customFormat="1" ht="15">
      <c r="B125" s="576" t="s">
        <v>400</v>
      </c>
      <c r="C125" s="577"/>
      <c r="D125" s="578"/>
      <c r="E125" s="578"/>
      <c r="F125" s="578" t="e">
        <f>SUM(F126:F132)</f>
        <v>#REF!</v>
      </c>
      <c r="G125" s="578" t="e">
        <f>SUM(G126:G132)</f>
        <v>#REF!</v>
      </c>
      <c r="H125" s="580" t="e">
        <f>+(F125-G125)/G125</f>
        <v>#REF!</v>
      </c>
      <c r="I125" s="565" t="e">
        <f>+F125/F133</f>
        <v>#REF!</v>
      </c>
      <c r="J125" s="566"/>
      <c r="K125" s="567"/>
    </row>
    <row r="126" spans="2:10" ht="15">
      <c r="B126" s="281" t="s">
        <v>187</v>
      </c>
      <c r="C126" s="581"/>
      <c r="D126" s="582"/>
      <c r="E126" s="582"/>
      <c r="F126" s="582" t="e">
        <f>+#REF!</f>
        <v>#REF!</v>
      </c>
      <c r="G126" s="582" t="e">
        <f>+#REF!</f>
        <v>#REF!</v>
      </c>
      <c r="H126" s="583" t="e">
        <f t="shared" si="7"/>
        <v>#REF!</v>
      </c>
      <c r="J126" s="565" t="e">
        <f>+F126/$F$125</f>
        <v>#REF!</v>
      </c>
    </row>
    <row r="127" spans="2:10" ht="15">
      <c r="B127" s="281" t="s">
        <v>401</v>
      </c>
      <c r="C127" s="581"/>
      <c r="D127" s="582"/>
      <c r="E127" s="582"/>
      <c r="F127" s="582" t="e">
        <f>+#REF!</f>
        <v>#REF!</v>
      </c>
      <c r="G127" s="582" t="e">
        <f>+#REF!</f>
        <v>#REF!</v>
      </c>
      <c r="H127" s="583" t="e">
        <f t="shared" si="7"/>
        <v>#REF!</v>
      </c>
      <c r="J127" s="565" t="e">
        <f aca="true" t="shared" si="8" ref="J127:J132">+F127/$F$125</f>
        <v>#REF!</v>
      </c>
    </row>
    <row r="128" spans="2:10" ht="15">
      <c r="B128" s="281" t="s">
        <v>402</v>
      </c>
      <c r="C128" s="581"/>
      <c r="D128" s="582"/>
      <c r="E128" s="582"/>
      <c r="F128" s="582" t="e">
        <f>+#REF!</f>
        <v>#REF!</v>
      </c>
      <c r="G128" s="582" t="e">
        <f>+#REF!</f>
        <v>#REF!</v>
      </c>
      <c r="H128" s="583" t="e">
        <f t="shared" si="7"/>
        <v>#REF!</v>
      </c>
      <c r="J128" s="565" t="e">
        <f t="shared" si="8"/>
        <v>#REF!</v>
      </c>
    </row>
    <row r="129" spans="2:10" ht="15">
      <c r="B129" s="281" t="s">
        <v>411</v>
      </c>
      <c r="C129" s="581"/>
      <c r="D129" s="582"/>
      <c r="E129" s="582"/>
      <c r="F129" s="582" t="e">
        <f>+#REF!</f>
        <v>#REF!</v>
      </c>
      <c r="G129" s="582" t="e">
        <f>+#REF!</f>
        <v>#REF!</v>
      </c>
      <c r="H129" s="583" t="e">
        <f t="shared" si="7"/>
        <v>#REF!</v>
      </c>
      <c r="J129" s="565" t="e">
        <f t="shared" si="8"/>
        <v>#REF!</v>
      </c>
    </row>
    <row r="130" spans="2:10" ht="15">
      <c r="B130" s="281" t="s">
        <v>403</v>
      </c>
      <c r="C130" s="581"/>
      <c r="D130" s="582"/>
      <c r="E130" s="582"/>
      <c r="F130" s="582" t="e">
        <f>+#REF!</f>
        <v>#REF!</v>
      </c>
      <c r="G130" s="582" t="e">
        <f>+#REF!</f>
        <v>#REF!</v>
      </c>
      <c r="H130" s="583" t="e">
        <f t="shared" si="7"/>
        <v>#REF!</v>
      </c>
      <c r="J130" s="565" t="e">
        <f t="shared" si="8"/>
        <v>#REF!</v>
      </c>
    </row>
    <row r="131" spans="2:10" ht="15">
      <c r="B131" s="281" t="s">
        <v>404</v>
      </c>
      <c r="C131" s="581"/>
      <c r="D131" s="582"/>
      <c r="E131" s="582"/>
      <c r="F131" s="582" t="e">
        <f>+#REF!</f>
        <v>#REF!</v>
      </c>
      <c r="G131" s="582" t="e">
        <f>+#REF!</f>
        <v>#REF!</v>
      </c>
      <c r="H131" s="583">
        <v>1</v>
      </c>
      <c r="J131" s="565" t="e">
        <f t="shared" si="8"/>
        <v>#REF!</v>
      </c>
    </row>
    <row r="132" spans="2:10" ht="15">
      <c r="B132" s="281" t="s">
        <v>405</v>
      </c>
      <c r="C132" s="581"/>
      <c r="D132" s="582"/>
      <c r="E132" s="582"/>
      <c r="F132" s="582" t="e">
        <f>+#REF!</f>
        <v>#REF!</v>
      </c>
      <c r="G132" s="582" t="e">
        <f>+#REF!</f>
        <v>#REF!</v>
      </c>
      <c r="H132" s="583">
        <v>1</v>
      </c>
      <c r="J132" s="565" t="e">
        <f t="shared" si="8"/>
        <v>#REF!</v>
      </c>
    </row>
    <row r="133" spans="2:11" s="48" customFormat="1" ht="15">
      <c r="B133" s="576" t="s">
        <v>409</v>
      </c>
      <c r="C133" s="577"/>
      <c r="D133" s="578"/>
      <c r="E133" s="578"/>
      <c r="F133" s="578" t="e">
        <f>+F119+F123+F125</f>
        <v>#REF!</v>
      </c>
      <c r="G133" s="584" t="e">
        <f>+G119+G123+G125</f>
        <v>#REF!</v>
      </c>
      <c r="H133" s="580">
        <v>1</v>
      </c>
      <c r="I133" s="565"/>
      <c r="J133" s="566"/>
      <c r="K133" s="567"/>
    </row>
  </sheetData>
  <sheetProtection/>
  <autoFilter ref="B8:H115"/>
  <mergeCells count="6">
    <mergeCell ref="B8:B9"/>
    <mergeCell ref="B2:H2"/>
    <mergeCell ref="B3:H3"/>
    <mergeCell ref="B4:H4"/>
    <mergeCell ref="B5:H5"/>
    <mergeCell ref="B6:H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Y110"/>
  <sheetViews>
    <sheetView zoomScale="90" zoomScaleNormal="90" zoomScalePageLayoutView="0" workbookViewId="0" topLeftCell="A91">
      <pane xSplit="2" topLeftCell="H1" activePane="topRight" state="frozen"/>
      <selection pane="topLeft" activeCell="A1" sqref="A1"/>
      <selection pane="topRight" activeCell="W106" sqref="W106"/>
    </sheetView>
  </sheetViews>
  <sheetFormatPr defaultColWidth="11.421875" defaultRowHeight="15"/>
  <cols>
    <col min="1" max="1" width="3.28125" style="337" bestFit="1" customWidth="1"/>
    <col min="2" max="2" width="32.7109375" style="338" customWidth="1"/>
    <col min="3" max="3" width="11.140625" style="338" customWidth="1"/>
    <col min="4" max="4" width="14.421875" style="338" customWidth="1"/>
    <col min="5" max="5" width="7.140625" style="339" customWidth="1"/>
    <col min="6" max="6" width="14.28125" style="338" customWidth="1"/>
    <col min="7" max="7" width="14.8515625" style="338" customWidth="1"/>
    <col min="8" max="8" width="13.7109375" style="340" customWidth="1"/>
    <col min="9" max="9" width="14.421875" style="340" customWidth="1"/>
    <col min="10" max="10" width="15.421875" style="340" customWidth="1"/>
    <col min="11" max="11" width="15.140625" style="340" customWidth="1"/>
    <col min="12" max="12" width="13.8515625" style="340" customWidth="1"/>
    <col min="13" max="13" width="16.140625" style="340" customWidth="1"/>
    <col min="14" max="14" width="15.421875" style="340" customWidth="1"/>
    <col min="15" max="15" width="15.421875" style="392" customWidth="1"/>
    <col min="16" max="16" width="14.8515625" style="392" customWidth="1"/>
    <col min="17" max="17" width="13.7109375" style="392" customWidth="1"/>
    <col min="18" max="18" width="12.7109375" style="392" customWidth="1"/>
    <col min="19" max="19" width="13.8515625" style="392" customWidth="1"/>
    <col min="20" max="20" width="15.28125" style="392" customWidth="1"/>
    <col min="21" max="21" width="17.421875" style="392" customWidth="1"/>
    <col min="22" max="22" width="13.421875" style="392" customWidth="1"/>
    <col min="23" max="23" width="17.00390625" style="392" customWidth="1"/>
    <col min="24" max="24" width="12.00390625" style="337" customWidth="1"/>
    <col min="25" max="25" width="12.7109375" style="529" hidden="1" customWidth="1"/>
    <col min="26" max="236" width="11.421875" style="337" customWidth="1"/>
    <col min="237" max="237" width="69.00390625" style="337" bestFit="1" customWidth="1"/>
    <col min="238" max="238" width="26.140625" style="337" bestFit="1" customWidth="1"/>
    <col min="239" max="239" width="15.8515625" style="337" bestFit="1" customWidth="1"/>
    <col min="240" max="16384" width="11.421875" style="337" customWidth="1"/>
  </cols>
  <sheetData>
    <row r="1" spans="15:25" ht="15">
      <c r="O1" s="340"/>
      <c r="P1" s="340"/>
      <c r="Q1" s="340"/>
      <c r="R1" s="340"/>
      <c r="S1" s="340"/>
      <c r="T1" s="340"/>
      <c r="U1" s="340"/>
      <c r="V1" s="340"/>
      <c r="W1" s="340"/>
      <c r="Y1" s="528"/>
    </row>
    <row r="2" spans="2:23" ht="15">
      <c r="B2" s="698" t="s">
        <v>33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</row>
    <row r="3" spans="2:23" ht="15">
      <c r="B3" s="698" t="s">
        <v>312</v>
      </c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</row>
    <row r="4" spans="2:25" ht="15.75" thickBot="1">
      <c r="B4" s="341" t="s">
        <v>383</v>
      </c>
      <c r="C4" s="341"/>
      <c r="D4" s="341"/>
      <c r="E4" s="341"/>
      <c r="F4" s="341"/>
      <c r="G4" s="341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Y4" s="525"/>
    </row>
    <row r="5" spans="2:25" s="343" customFormat="1" ht="15.75" thickBot="1">
      <c r="B5" s="344"/>
      <c r="C5" s="344"/>
      <c r="D5" s="344"/>
      <c r="E5" s="344"/>
      <c r="F5" s="455" t="s">
        <v>276</v>
      </c>
      <c r="G5" s="696" t="s">
        <v>313</v>
      </c>
      <c r="H5" s="696"/>
      <c r="I5" s="697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6"/>
      <c r="V5" s="347"/>
      <c r="W5" s="347"/>
      <c r="Y5" s="526"/>
    </row>
    <row r="6" spans="2:25" s="348" customFormat="1" ht="31.5" thickBot="1">
      <c r="B6" s="430" t="s">
        <v>21</v>
      </c>
      <c r="C6" s="426" t="s">
        <v>98</v>
      </c>
      <c r="D6" s="426" t="s">
        <v>99</v>
      </c>
      <c r="E6" s="427" t="s">
        <v>228</v>
      </c>
      <c r="F6" s="432" t="s">
        <v>1</v>
      </c>
      <c r="G6" s="432" t="s">
        <v>1</v>
      </c>
      <c r="H6" s="433" t="s">
        <v>34</v>
      </c>
      <c r="I6" s="433" t="s">
        <v>2</v>
      </c>
      <c r="J6" s="434" t="s">
        <v>3</v>
      </c>
      <c r="K6" s="434" t="s">
        <v>4</v>
      </c>
      <c r="L6" s="434" t="s">
        <v>5</v>
      </c>
      <c r="M6" s="434" t="s">
        <v>6</v>
      </c>
      <c r="N6" s="434" t="s">
        <v>7</v>
      </c>
      <c r="O6" s="434" t="s">
        <v>8</v>
      </c>
      <c r="P6" s="434" t="s">
        <v>9</v>
      </c>
      <c r="Q6" s="434" t="s">
        <v>10</v>
      </c>
      <c r="R6" s="434" t="s">
        <v>11</v>
      </c>
      <c r="S6" s="434" t="s">
        <v>12</v>
      </c>
      <c r="T6" s="434" t="s">
        <v>13</v>
      </c>
      <c r="U6" s="434" t="s">
        <v>14</v>
      </c>
      <c r="V6" s="434" t="s">
        <v>87</v>
      </c>
      <c r="W6" s="435" t="s">
        <v>125</v>
      </c>
      <c r="Y6" s="527" t="s">
        <v>382</v>
      </c>
    </row>
    <row r="7" spans="1:25" ht="15">
      <c r="A7" s="337">
        <v>1</v>
      </c>
      <c r="B7" s="440" t="s">
        <v>384</v>
      </c>
      <c r="C7" s="349">
        <v>44564</v>
      </c>
      <c r="D7" s="349">
        <v>44925</v>
      </c>
      <c r="E7" s="441">
        <f>DAYS360(C7,D7)+1</f>
        <v>358</v>
      </c>
      <c r="F7" s="350">
        <v>2265522</v>
      </c>
      <c r="G7" s="350">
        <f>+F7*(1+'SUPUESTOS GASTOS'!$F$6)</f>
        <v>2378798.1</v>
      </c>
      <c r="H7" s="350"/>
      <c r="I7" s="350">
        <f>SUM(G7:H7)</f>
        <v>2378798.1</v>
      </c>
      <c r="J7" s="350">
        <f>ROUND(+((G7/'SUPUESTOS GASTOS'!$F$12)*E7),0)</f>
        <v>28386991</v>
      </c>
      <c r="K7" s="350">
        <f>ROUND(+((I7*E7)/'SUPUESTOS GASTOS'!$F$10),0)</f>
        <v>2365583</v>
      </c>
      <c r="L7" s="350">
        <f>+ROUND(((I7/30)*E7)*0.01,-3)</f>
        <v>284000</v>
      </c>
      <c r="M7" s="350">
        <f>+K7</f>
        <v>2365583</v>
      </c>
      <c r="N7" s="350">
        <f>ROUND(+(G7*E7)/720,0)</f>
        <v>1182791</v>
      </c>
      <c r="O7" s="350">
        <f>ROUNDUP((+$J7)*'SUPUESTOS GASTOS'!$F$19,-3)</f>
        <v>3407000</v>
      </c>
      <c r="P7" s="350">
        <f>ROUNDUP((+$J7)*'SUPUESTOS GASTOS'!$F$20,-3)</f>
        <v>2413000</v>
      </c>
      <c r="Q7" s="350">
        <f>ROUNDUP((+$J7)*'SUPUESTOS GASTOS'!$F$26,-3)</f>
        <v>297000</v>
      </c>
      <c r="R7" s="350">
        <f>ROUND((J7*4%)+(N7*4%),-3)</f>
        <v>1183000</v>
      </c>
      <c r="S7" s="350">
        <f>ROUND((J7*2%)+(N7*2%),0-3)</f>
        <v>591000</v>
      </c>
      <c r="T7" s="350">
        <f>ROUND((J7*3%)+(N7*3%),-3)</f>
        <v>887000</v>
      </c>
      <c r="U7" s="350">
        <f>SUM(J7:T7)</f>
        <v>43362948</v>
      </c>
      <c r="V7" s="442"/>
      <c r="W7" s="443">
        <f>+V7+U7</f>
        <v>43362948</v>
      </c>
      <c r="Y7" s="530">
        <v>0.01044</v>
      </c>
    </row>
    <row r="8" spans="1:25" ht="15.75" thickBot="1">
      <c r="A8" s="337">
        <v>2</v>
      </c>
      <c r="B8" s="556" t="s">
        <v>384</v>
      </c>
      <c r="C8" s="540">
        <v>44564</v>
      </c>
      <c r="D8" s="540">
        <v>44925</v>
      </c>
      <c r="E8" s="541">
        <v>358</v>
      </c>
      <c r="F8" s="542">
        <v>0</v>
      </c>
      <c r="G8" s="542">
        <f>+G7</f>
        <v>2378798.1</v>
      </c>
      <c r="H8" s="542">
        <v>0</v>
      </c>
      <c r="I8" s="542">
        <f>SUM(G8:H8)</f>
        <v>2378798.1</v>
      </c>
      <c r="J8" s="542">
        <f>ROUND(+((G8/'SUPUESTOS GASTOS'!$F$12)*E8),0)</f>
        <v>28386991</v>
      </c>
      <c r="K8" s="542">
        <f>ROUND(+((I8*E8)/'SUPUESTOS GASTOS'!$F$10),0)</f>
        <v>2365583</v>
      </c>
      <c r="L8" s="542">
        <f>+ROUND(((I8/30)*E8)*0.01,-3)</f>
        <v>284000</v>
      </c>
      <c r="M8" s="542">
        <f>+K8</f>
        <v>2365583</v>
      </c>
      <c r="N8" s="542">
        <f>ROUND(+(G8*E8)/720,0)</f>
        <v>1182791</v>
      </c>
      <c r="O8" s="542">
        <f>ROUNDUP((+$J8)*'SUPUESTOS GASTOS'!$F$19,-3)</f>
        <v>3407000</v>
      </c>
      <c r="P8" s="542">
        <f>ROUNDUP((+$J8)*'SUPUESTOS GASTOS'!$F$20,-3)</f>
        <v>2413000</v>
      </c>
      <c r="Q8" s="542">
        <f>ROUNDUP((+$J8)*'SUPUESTOS GASTOS'!$F$26,-3)</f>
        <v>297000</v>
      </c>
      <c r="R8" s="542">
        <f>ROUND((J8*4%)+(N8*4%),-3)</f>
        <v>1183000</v>
      </c>
      <c r="S8" s="542">
        <f>ROUND((J8*2%)+(N8*2%),0-3)</f>
        <v>591000</v>
      </c>
      <c r="T8" s="542">
        <f>ROUND((J8*3%)+(N8*3%),-3)</f>
        <v>887000</v>
      </c>
      <c r="U8" s="542">
        <f>SUM(J8:T8)</f>
        <v>43362948</v>
      </c>
      <c r="V8" s="557">
        <v>0</v>
      </c>
      <c r="W8" s="543">
        <f>+V8+U8</f>
        <v>43362948</v>
      </c>
      <c r="Y8" s="531">
        <v>0.01044</v>
      </c>
    </row>
    <row r="9" spans="2:25" s="353" customFormat="1" ht="15.75" thickBot="1">
      <c r="B9" s="544" t="s">
        <v>28</v>
      </c>
      <c r="C9" s="545"/>
      <c r="D9" s="545"/>
      <c r="E9" s="546"/>
      <c r="F9" s="547">
        <f>SUM(F7:F8)</f>
        <v>2265522</v>
      </c>
      <c r="G9" s="547">
        <f aca="true" t="shared" si="0" ref="G9:W9">SUM(G7:G8)</f>
        <v>4757596.2</v>
      </c>
      <c r="H9" s="547">
        <f t="shared" si="0"/>
        <v>0</v>
      </c>
      <c r="I9" s="547">
        <f t="shared" si="0"/>
        <v>4757596.2</v>
      </c>
      <c r="J9" s="547">
        <f t="shared" si="0"/>
        <v>56773982</v>
      </c>
      <c r="K9" s="547">
        <f t="shared" si="0"/>
        <v>4731166</v>
      </c>
      <c r="L9" s="547">
        <f t="shared" si="0"/>
        <v>568000</v>
      </c>
      <c r="M9" s="547">
        <f t="shared" si="0"/>
        <v>4731166</v>
      </c>
      <c r="N9" s="547">
        <f t="shared" si="0"/>
        <v>2365582</v>
      </c>
      <c r="O9" s="547">
        <f t="shared" si="0"/>
        <v>6814000</v>
      </c>
      <c r="P9" s="547">
        <f t="shared" si="0"/>
        <v>4826000</v>
      </c>
      <c r="Q9" s="547">
        <f t="shared" si="0"/>
        <v>594000</v>
      </c>
      <c r="R9" s="547">
        <f t="shared" si="0"/>
        <v>2366000</v>
      </c>
      <c r="S9" s="547">
        <f t="shared" si="0"/>
        <v>1182000</v>
      </c>
      <c r="T9" s="547">
        <f t="shared" si="0"/>
        <v>1774000</v>
      </c>
      <c r="U9" s="547">
        <f t="shared" si="0"/>
        <v>86725896</v>
      </c>
      <c r="V9" s="558">
        <f t="shared" si="0"/>
        <v>0</v>
      </c>
      <c r="W9" s="559">
        <f t="shared" si="0"/>
        <v>86725896</v>
      </c>
      <c r="Y9" s="533"/>
    </row>
    <row r="10" spans="2:25" ht="15.75" thickBot="1">
      <c r="B10" s="341"/>
      <c r="C10" s="341"/>
      <c r="D10" s="341"/>
      <c r="E10" s="341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6"/>
      <c r="W10" s="356"/>
      <c r="Y10" s="525"/>
    </row>
    <row r="11" spans="2:25" s="343" customFormat="1" ht="15.75" thickBot="1">
      <c r="B11" s="344"/>
      <c r="C11" s="344"/>
      <c r="D11" s="344"/>
      <c r="E11" s="344"/>
      <c r="F11" s="455" t="s">
        <v>276</v>
      </c>
      <c r="G11" s="696" t="s">
        <v>313</v>
      </c>
      <c r="H11" s="696"/>
      <c r="I11" s="697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9"/>
      <c r="V11" s="370"/>
      <c r="W11" s="370"/>
      <c r="Y11" s="526"/>
    </row>
    <row r="12" spans="2:25" s="348" customFormat="1" ht="31.5" thickBot="1">
      <c r="B12" s="430" t="s">
        <v>20</v>
      </c>
      <c r="C12" s="426" t="s">
        <v>98</v>
      </c>
      <c r="D12" s="426" t="s">
        <v>99</v>
      </c>
      <c r="E12" s="427" t="s">
        <v>228</v>
      </c>
      <c r="F12" s="428" t="s">
        <v>1</v>
      </c>
      <c r="G12" s="428" t="s">
        <v>1</v>
      </c>
      <c r="H12" s="428" t="s">
        <v>34</v>
      </c>
      <c r="I12" s="428" t="s">
        <v>2</v>
      </c>
      <c r="J12" s="429" t="s">
        <v>3</v>
      </c>
      <c r="K12" s="429" t="s">
        <v>4</v>
      </c>
      <c r="L12" s="429" t="s">
        <v>5</v>
      </c>
      <c r="M12" s="429" t="s">
        <v>6</v>
      </c>
      <c r="N12" s="429" t="s">
        <v>7</v>
      </c>
      <c r="O12" s="429" t="s">
        <v>8</v>
      </c>
      <c r="P12" s="429" t="s">
        <v>9</v>
      </c>
      <c r="Q12" s="429" t="s">
        <v>10</v>
      </c>
      <c r="R12" s="429" t="s">
        <v>11</v>
      </c>
      <c r="S12" s="429" t="s">
        <v>12</v>
      </c>
      <c r="T12" s="429" t="s">
        <v>13</v>
      </c>
      <c r="U12" s="429" t="s">
        <v>14</v>
      </c>
      <c r="V12" s="429" t="s">
        <v>87</v>
      </c>
      <c r="W12" s="448" t="s">
        <v>125</v>
      </c>
      <c r="Y12" s="527" t="s">
        <v>382</v>
      </c>
    </row>
    <row r="13" spans="1:25" ht="15">
      <c r="A13" s="337">
        <v>3</v>
      </c>
      <c r="B13" s="449" t="s">
        <v>245</v>
      </c>
      <c r="C13" s="349">
        <v>44564</v>
      </c>
      <c r="D13" s="349">
        <v>44925</v>
      </c>
      <c r="E13" s="450">
        <f>DAYS360(C13,D13)+1</f>
        <v>358</v>
      </c>
      <c r="F13" s="350">
        <v>4417768</v>
      </c>
      <c r="G13" s="350">
        <f>(+F13*'SUPUESTOS GASTOS'!$F$6)+'NOMINA 2022 PLANTA'!F13</f>
        <v>4638656.4</v>
      </c>
      <c r="H13" s="371"/>
      <c r="I13" s="350">
        <f aca="true" t="shared" si="1" ref="I13:I25">SUM(G13:H13)</f>
        <v>4638656.4</v>
      </c>
      <c r="J13" s="350">
        <f>ROUND(+((G13/'SUPUESTOS GASTOS'!$F$12)*E13),0)</f>
        <v>55354633</v>
      </c>
      <c r="K13" s="350">
        <f>ROUND(+((I13*E13)/'SUPUESTOS GASTOS'!$F$10),0)</f>
        <v>4612886</v>
      </c>
      <c r="L13" s="350">
        <f>+ROUND(((I13/30)*E13)*0.01,-3)</f>
        <v>554000</v>
      </c>
      <c r="M13" s="350">
        <f aca="true" t="shared" si="2" ref="M13:M25">+K13</f>
        <v>4612886</v>
      </c>
      <c r="N13" s="350">
        <f aca="true" t="shared" si="3" ref="N13:N28">ROUND(+(G13*E13)/720,0)</f>
        <v>2306443</v>
      </c>
      <c r="O13" s="350">
        <f>ROUNDUP((+$J13)*'SUPUESTOS GASTOS'!$F$19,-3)</f>
        <v>6643000</v>
      </c>
      <c r="P13" s="350">
        <f>ROUNDUP((+$J13)*'SUPUESTOS GASTOS'!$F$20,-3)</f>
        <v>4706000</v>
      </c>
      <c r="Q13" s="372">
        <f>ROUNDUP((+$J13)*'SUPUESTOS GASTOS'!$F$23,-3)</f>
        <v>1349000</v>
      </c>
      <c r="R13" s="350">
        <f>ROUND((J13*4%)+(N13*4%),-3)</f>
        <v>2306000</v>
      </c>
      <c r="S13" s="350">
        <f>ROUND((J13*2%)+(N13*2%),0-3)</f>
        <v>1153000</v>
      </c>
      <c r="T13" s="350">
        <f>ROUND((J13*3%)+(N13*3%),-3)</f>
        <v>1730000</v>
      </c>
      <c r="U13" s="350">
        <f aca="true" t="shared" si="4" ref="U13:U25">SUM(J13:T13)</f>
        <v>85327848</v>
      </c>
      <c r="V13" s="350"/>
      <c r="W13" s="443">
        <f aca="true" t="shared" si="5" ref="W13:W28">+U13+V13</f>
        <v>85327848</v>
      </c>
      <c r="Y13" s="530">
        <v>0.02436</v>
      </c>
    </row>
    <row r="14" spans="1:25" ht="15">
      <c r="A14" s="337">
        <v>4</v>
      </c>
      <c r="B14" s="383" t="s">
        <v>15</v>
      </c>
      <c r="C14" s="351">
        <v>44572</v>
      </c>
      <c r="D14" s="351">
        <v>44925</v>
      </c>
      <c r="E14" s="446">
        <f aca="true" t="shared" si="6" ref="E14:E28">DAYS360(C14,D14)+1</f>
        <v>350</v>
      </c>
      <c r="F14" s="352">
        <v>2089756</v>
      </c>
      <c r="G14" s="352">
        <f>(+F14*'SUPUESTOS GASTOS'!$F$6)+'NOMINA 2022 PLANTA'!F14</f>
        <v>2194243.8</v>
      </c>
      <c r="H14" s="352"/>
      <c r="I14" s="352">
        <f t="shared" si="1"/>
        <v>2194243.8</v>
      </c>
      <c r="J14" s="352">
        <f>ROUND(+((G14/'SUPUESTOS GASTOS'!$F$12)*E14),0)</f>
        <v>25599511</v>
      </c>
      <c r="K14" s="352">
        <f>ROUND(+((I14*E14)/'SUPUESTOS GASTOS'!$F$10),0)</f>
        <v>2133293</v>
      </c>
      <c r="L14" s="352">
        <f>+ROUND(((I14/30)*E14)*0.01,-3)</f>
        <v>256000</v>
      </c>
      <c r="M14" s="352">
        <f t="shared" si="2"/>
        <v>2133293</v>
      </c>
      <c r="N14" s="352">
        <f t="shared" si="3"/>
        <v>1066646</v>
      </c>
      <c r="O14" s="352">
        <f>ROUNDUP((+$J14)*'SUPUESTOS GASTOS'!$F$19,-3)</f>
        <v>3072000</v>
      </c>
      <c r="P14" s="352">
        <f>ROUNDUP((+$J14)*'SUPUESTOS GASTOS'!$F$20,-3)</f>
        <v>2176000</v>
      </c>
      <c r="Q14" s="373">
        <f>ROUNDUP((+$J14)*'SUPUESTOS GASTOS'!$F$25,-3)</f>
        <v>1114000</v>
      </c>
      <c r="R14" s="352">
        <f aca="true" t="shared" si="7" ref="R14:R28">ROUND((J14*4%)+(N14*4%),-3)</f>
        <v>1067000</v>
      </c>
      <c r="S14" s="352">
        <f aca="true" t="shared" si="8" ref="S14:S28">ROUND((J14*2%)+(N14*2%),0-3)</f>
        <v>533000</v>
      </c>
      <c r="T14" s="352">
        <f aca="true" t="shared" si="9" ref="T14:T28">ROUND((J14*3%)+(N14*3%),-3)</f>
        <v>800000</v>
      </c>
      <c r="U14" s="352">
        <f t="shared" si="4"/>
        <v>39950743</v>
      </c>
      <c r="V14" s="352"/>
      <c r="W14" s="431">
        <f t="shared" si="5"/>
        <v>39950743</v>
      </c>
      <c r="Y14" s="531">
        <v>0.0435</v>
      </c>
    </row>
    <row r="15" spans="1:25" ht="15">
      <c r="A15" s="337">
        <v>5</v>
      </c>
      <c r="B15" s="383" t="s">
        <v>16</v>
      </c>
      <c r="C15" s="351">
        <v>44572</v>
      </c>
      <c r="D15" s="351">
        <v>44925</v>
      </c>
      <c r="E15" s="446">
        <f t="shared" si="6"/>
        <v>350</v>
      </c>
      <c r="F15" s="352">
        <v>2089756</v>
      </c>
      <c r="G15" s="352">
        <f>(+F15*'SUPUESTOS GASTOS'!$F$6)+'NOMINA 2022 PLANTA'!F15</f>
        <v>2194243.8</v>
      </c>
      <c r="H15" s="352"/>
      <c r="I15" s="352">
        <f t="shared" si="1"/>
        <v>2194243.8</v>
      </c>
      <c r="J15" s="352">
        <f>ROUND(+((G15/'SUPUESTOS GASTOS'!$F$12)*E15),0)</f>
        <v>25599511</v>
      </c>
      <c r="K15" s="352">
        <f>ROUND(+((I15*E15)/'SUPUESTOS GASTOS'!$F$10),0)</f>
        <v>2133293</v>
      </c>
      <c r="L15" s="352">
        <f aca="true" t="shared" si="10" ref="L15:L28">+ROUND(((I15/30)*E15)*0.01,-3)</f>
        <v>256000</v>
      </c>
      <c r="M15" s="352">
        <f t="shared" si="2"/>
        <v>2133293</v>
      </c>
      <c r="N15" s="352">
        <f t="shared" si="3"/>
        <v>1066646</v>
      </c>
      <c r="O15" s="352">
        <f>ROUNDUP((+$J15)*'SUPUESTOS GASTOS'!$F$19,-3)</f>
        <v>3072000</v>
      </c>
      <c r="P15" s="352">
        <f>ROUNDUP((+$J15)*'SUPUESTOS GASTOS'!$F$20,-3)</f>
        <v>2176000</v>
      </c>
      <c r="Q15" s="373">
        <f>ROUNDUP((+$J15)*'SUPUESTOS GASTOS'!$F$25,-3)</f>
        <v>1114000</v>
      </c>
      <c r="R15" s="352">
        <f t="shared" si="7"/>
        <v>1067000</v>
      </c>
      <c r="S15" s="352">
        <f t="shared" si="8"/>
        <v>533000</v>
      </c>
      <c r="T15" s="352">
        <f t="shared" si="9"/>
        <v>800000</v>
      </c>
      <c r="U15" s="352">
        <f t="shared" si="4"/>
        <v>39950743</v>
      </c>
      <c r="V15" s="352"/>
      <c r="W15" s="431">
        <f t="shared" si="5"/>
        <v>39950743</v>
      </c>
      <c r="Y15" s="531">
        <v>0.0435</v>
      </c>
    </row>
    <row r="16" spans="1:25" ht="15">
      <c r="A16" s="337">
        <v>6</v>
      </c>
      <c r="B16" s="383" t="s">
        <v>17</v>
      </c>
      <c r="C16" s="351">
        <v>44572</v>
      </c>
      <c r="D16" s="351">
        <v>44925</v>
      </c>
      <c r="E16" s="446">
        <f t="shared" si="6"/>
        <v>350</v>
      </c>
      <c r="F16" s="352">
        <v>2089756</v>
      </c>
      <c r="G16" s="352">
        <f>(+F16*'SUPUESTOS GASTOS'!$F$6)+'NOMINA 2022 PLANTA'!F16</f>
        <v>2194243.8</v>
      </c>
      <c r="H16" s="352"/>
      <c r="I16" s="352">
        <f t="shared" si="1"/>
        <v>2194243.8</v>
      </c>
      <c r="J16" s="352">
        <f>ROUND(+((G16/'SUPUESTOS GASTOS'!$F$12)*E16),0)</f>
        <v>25599511</v>
      </c>
      <c r="K16" s="352">
        <f>ROUND(+((I16*E16)/'SUPUESTOS GASTOS'!$F$10),0)</f>
        <v>2133293</v>
      </c>
      <c r="L16" s="352">
        <f t="shared" si="10"/>
        <v>256000</v>
      </c>
      <c r="M16" s="352">
        <f t="shared" si="2"/>
        <v>2133293</v>
      </c>
      <c r="N16" s="352">
        <f t="shared" si="3"/>
        <v>1066646</v>
      </c>
      <c r="O16" s="352">
        <f>ROUNDUP((+$J16)*'SUPUESTOS GASTOS'!$F$19,-3)</f>
        <v>3072000</v>
      </c>
      <c r="P16" s="352">
        <f>ROUNDUP((+$J16)*'SUPUESTOS GASTOS'!$F$20,-3)</f>
        <v>2176000</v>
      </c>
      <c r="Q16" s="373">
        <f>ROUNDUP((+$J16)*'SUPUESTOS GASTOS'!$F$25,-3)</f>
        <v>1114000</v>
      </c>
      <c r="R16" s="352">
        <f t="shared" si="7"/>
        <v>1067000</v>
      </c>
      <c r="S16" s="352">
        <f t="shared" si="8"/>
        <v>533000</v>
      </c>
      <c r="T16" s="352">
        <f t="shared" si="9"/>
        <v>800000</v>
      </c>
      <c r="U16" s="352">
        <f t="shared" si="4"/>
        <v>39950743</v>
      </c>
      <c r="V16" s="352"/>
      <c r="W16" s="431">
        <f t="shared" si="5"/>
        <v>39950743</v>
      </c>
      <c r="Y16" s="531">
        <v>0.0435</v>
      </c>
    </row>
    <row r="17" spans="1:25" ht="15">
      <c r="A17" s="337">
        <v>7</v>
      </c>
      <c r="B17" s="383" t="s">
        <v>18</v>
      </c>
      <c r="C17" s="351">
        <v>44572</v>
      </c>
      <c r="D17" s="351">
        <v>44925</v>
      </c>
      <c r="E17" s="446">
        <f t="shared" si="6"/>
        <v>350</v>
      </c>
      <c r="F17" s="352">
        <v>2089756</v>
      </c>
      <c r="G17" s="352">
        <f>(+F17*'SUPUESTOS GASTOS'!$F$6)+'NOMINA 2022 PLANTA'!F17</f>
        <v>2194243.8</v>
      </c>
      <c r="H17" s="352"/>
      <c r="I17" s="352">
        <f t="shared" si="1"/>
        <v>2194243.8</v>
      </c>
      <c r="J17" s="352">
        <f>ROUND(+((G17/'SUPUESTOS GASTOS'!$F$12)*E17),0)</f>
        <v>25599511</v>
      </c>
      <c r="K17" s="352">
        <f>ROUND(+((I17*E17)/'SUPUESTOS GASTOS'!$F$10),0)</f>
        <v>2133293</v>
      </c>
      <c r="L17" s="352">
        <f t="shared" si="10"/>
        <v>256000</v>
      </c>
      <c r="M17" s="352">
        <f t="shared" si="2"/>
        <v>2133293</v>
      </c>
      <c r="N17" s="352">
        <f t="shared" si="3"/>
        <v>1066646</v>
      </c>
      <c r="O17" s="352">
        <f>ROUNDUP((+$J17)*'SUPUESTOS GASTOS'!$F$19,-3)</f>
        <v>3072000</v>
      </c>
      <c r="P17" s="352">
        <f>ROUNDUP((+$J17)*'SUPUESTOS GASTOS'!$F$20,-3)</f>
        <v>2176000</v>
      </c>
      <c r="Q17" s="373">
        <f>ROUNDUP((+$J17)*'SUPUESTOS GASTOS'!$F$25,-3)</f>
        <v>1114000</v>
      </c>
      <c r="R17" s="352">
        <f t="shared" si="7"/>
        <v>1067000</v>
      </c>
      <c r="S17" s="352">
        <f t="shared" si="8"/>
        <v>533000</v>
      </c>
      <c r="T17" s="352">
        <f t="shared" si="9"/>
        <v>800000</v>
      </c>
      <c r="U17" s="352">
        <f t="shared" si="4"/>
        <v>39950743</v>
      </c>
      <c r="V17" s="352"/>
      <c r="W17" s="431">
        <f t="shared" si="5"/>
        <v>39950743</v>
      </c>
      <c r="Y17" s="531">
        <v>0.0435</v>
      </c>
    </row>
    <row r="18" spans="1:25" ht="15">
      <c r="A18" s="337">
        <v>8</v>
      </c>
      <c r="B18" s="383" t="s">
        <v>42</v>
      </c>
      <c r="C18" s="351">
        <v>44572</v>
      </c>
      <c r="D18" s="351">
        <v>44925</v>
      </c>
      <c r="E18" s="446">
        <f t="shared" si="6"/>
        <v>350</v>
      </c>
      <c r="F18" s="352">
        <v>2089756</v>
      </c>
      <c r="G18" s="352">
        <f>(+F18*'SUPUESTOS GASTOS'!$F$6)+'NOMINA 2022 PLANTA'!F18</f>
        <v>2194243.8</v>
      </c>
      <c r="H18" s="352"/>
      <c r="I18" s="352">
        <f t="shared" si="1"/>
        <v>2194243.8</v>
      </c>
      <c r="J18" s="352">
        <f>ROUND(+((G18/'SUPUESTOS GASTOS'!$F$12)*E18),0)</f>
        <v>25599511</v>
      </c>
      <c r="K18" s="352">
        <f>ROUND(+((I18*E18)/'SUPUESTOS GASTOS'!$F$10),0)</f>
        <v>2133293</v>
      </c>
      <c r="L18" s="352">
        <f t="shared" si="10"/>
        <v>256000</v>
      </c>
      <c r="M18" s="352">
        <f t="shared" si="2"/>
        <v>2133293</v>
      </c>
      <c r="N18" s="352">
        <f t="shared" si="3"/>
        <v>1066646</v>
      </c>
      <c r="O18" s="352">
        <f>ROUNDUP((+$J18)*'SUPUESTOS GASTOS'!$F$19,-3)</f>
        <v>3072000</v>
      </c>
      <c r="P18" s="352">
        <f>ROUNDUP((+$J18)*'SUPUESTOS GASTOS'!$F$20,-3)</f>
        <v>2176000</v>
      </c>
      <c r="Q18" s="373">
        <f>ROUNDUP((+$J18)*'SUPUESTOS GASTOS'!$F$25,-3)</f>
        <v>1114000</v>
      </c>
      <c r="R18" s="352">
        <f t="shared" si="7"/>
        <v>1067000</v>
      </c>
      <c r="S18" s="352">
        <f t="shared" si="8"/>
        <v>533000</v>
      </c>
      <c r="T18" s="352">
        <f t="shared" si="9"/>
        <v>800000</v>
      </c>
      <c r="U18" s="352">
        <f t="shared" si="4"/>
        <v>39950743</v>
      </c>
      <c r="V18" s="352"/>
      <c r="W18" s="431">
        <f t="shared" si="5"/>
        <v>39950743</v>
      </c>
      <c r="Y18" s="531">
        <v>0.0435</v>
      </c>
    </row>
    <row r="19" spans="1:25" ht="15">
      <c r="A19" s="337">
        <v>9</v>
      </c>
      <c r="B19" s="383" t="s">
        <v>145</v>
      </c>
      <c r="C19" s="351">
        <v>44572</v>
      </c>
      <c r="D19" s="351">
        <v>44925</v>
      </c>
      <c r="E19" s="446">
        <f aca="true" t="shared" si="11" ref="E19:E24">DAYS360(C19,D19)+1</f>
        <v>350</v>
      </c>
      <c r="F19" s="352">
        <v>2089756</v>
      </c>
      <c r="G19" s="352">
        <f>(+F19*'SUPUESTOS GASTOS'!$F$6)+'NOMINA 2022 PLANTA'!F19</f>
        <v>2194243.8</v>
      </c>
      <c r="H19" s="352"/>
      <c r="I19" s="352">
        <f aca="true" t="shared" si="12" ref="I19:I24">SUM(G19:H19)</f>
        <v>2194243.8</v>
      </c>
      <c r="J19" s="352">
        <f>ROUND(+((G19/'SUPUESTOS GASTOS'!$F$12)*E19),0)</f>
        <v>25599511</v>
      </c>
      <c r="K19" s="352">
        <f>ROUND(+((I19*E19)/'SUPUESTOS GASTOS'!$F$10),0)</f>
        <v>2133293</v>
      </c>
      <c r="L19" s="352">
        <f t="shared" si="10"/>
        <v>256000</v>
      </c>
      <c r="M19" s="352">
        <f aca="true" t="shared" si="13" ref="M19:M24">+K19</f>
        <v>2133293</v>
      </c>
      <c r="N19" s="352">
        <f t="shared" si="3"/>
        <v>1066646</v>
      </c>
      <c r="O19" s="352">
        <f>ROUNDUP((+$J19)*'SUPUESTOS GASTOS'!$F$19,-3)</f>
        <v>3072000</v>
      </c>
      <c r="P19" s="352">
        <f>ROUNDUP((+$J19)*'SUPUESTOS GASTOS'!$F$20,-3)</f>
        <v>2176000</v>
      </c>
      <c r="Q19" s="373">
        <f>ROUNDUP((+$J19)*'SUPUESTOS GASTOS'!$F$25,-3)</f>
        <v>1114000</v>
      </c>
      <c r="R19" s="352">
        <f aca="true" t="shared" si="14" ref="R19:R24">ROUND((J19*4%)+(N19*4%),-3)</f>
        <v>1067000</v>
      </c>
      <c r="S19" s="352">
        <f aca="true" t="shared" si="15" ref="S19:S24">ROUND((J19*2%)+(N19*2%),0-3)</f>
        <v>533000</v>
      </c>
      <c r="T19" s="352">
        <f aca="true" t="shared" si="16" ref="T19:T24">ROUND((J19*3%)+(N19*3%),-3)</f>
        <v>800000</v>
      </c>
      <c r="U19" s="352">
        <f t="shared" si="4"/>
        <v>39950743</v>
      </c>
      <c r="V19" s="352"/>
      <c r="W19" s="431">
        <f t="shared" si="5"/>
        <v>39950743</v>
      </c>
      <c r="Y19" s="531">
        <v>0.0435</v>
      </c>
    </row>
    <row r="20" spans="1:25" ht="15">
      <c r="A20" s="337">
        <v>10</v>
      </c>
      <c r="B20" s="383" t="s">
        <v>185</v>
      </c>
      <c r="C20" s="351">
        <v>44572</v>
      </c>
      <c r="D20" s="351">
        <v>44925</v>
      </c>
      <c r="E20" s="446">
        <f t="shared" si="11"/>
        <v>350</v>
      </c>
      <c r="F20" s="352">
        <v>2089756</v>
      </c>
      <c r="G20" s="352">
        <f>(+F20*'SUPUESTOS GASTOS'!$F$6)+'NOMINA 2022 PLANTA'!F20</f>
        <v>2194243.8</v>
      </c>
      <c r="H20" s="352"/>
      <c r="I20" s="352">
        <f t="shared" si="12"/>
        <v>2194243.8</v>
      </c>
      <c r="J20" s="352">
        <f>ROUND(+((G20/'SUPUESTOS GASTOS'!$F$12)*E20),0)</f>
        <v>25599511</v>
      </c>
      <c r="K20" s="352">
        <f>ROUND(+((I20*E20)/'SUPUESTOS GASTOS'!$F$10),0)</f>
        <v>2133293</v>
      </c>
      <c r="L20" s="352">
        <f>+ROUND(((I20/30)*E20)*0.01,-3)</f>
        <v>256000</v>
      </c>
      <c r="M20" s="352">
        <f t="shared" si="13"/>
        <v>2133293</v>
      </c>
      <c r="N20" s="352">
        <f>ROUND(+(G20*E20)/720,0)</f>
        <v>1066646</v>
      </c>
      <c r="O20" s="352">
        <f>ROUNDUP((+$J20)*'SUPUESTOS GASTOS'!$F$19,-3)</f>
        <v>3072000</v>
      </c>
      <c r="P20" s="352">
        <f>ROUNDUP((+$J20)*'SUPUESTOS GASTOS'!$F$20,-3)</f>
        <v>2176000</v>
      </c>
      <c r="Q20" s="373">
        <f>ROUNDUP((+$J20)*'SUPUESTOS GASTOS'!$F$25,-3)</f>
        <v>1114000</v>
      </c>
      <c r="R20" s="352">
        <f t="shared" si="14"/>
        <v>1067000</v>
      </c>
      <c r="S20" s="352">
        <f t="shared" si="15"/>
        <v>533000</v>
      </c>
      <c r="T20" s="352">
        <f t="shared" si="16"/>
        <v>800000</v>
      </c>
      <c r="U20" s="352">
        <f t="shared" si="4"/>
        <v>39950743</v>
      </c>
      <c r="V20" s="352"/>
      <c r="W20" s="431">
        <f t="shared" si="5"/>
        <v>39950743</v>
      </c>
      <c r="Y20" s="531">
        <v>0.0435</v>
      </c>
    </row>
    <row r="21" spans="1:25" ht="15">
      <c r="A21" s="337">
        <v>11</v>
      </c>
      <c r="B21" s="383" t="s">
        <v>186</v>
      </c>
      <c r="C21" s="351">
        <v>44572</v>
      </c>
      <c r="D21" s="351">
        <v>44925</v>
      </c>
      <c r="E21" s="446">
        <f t="shared" si="11"/>
        <v>350</v>
      </c>
      <c r="F21" s="352">
        <v>2089756</v>
      </c>
      <c r="G21" s="352">
        <f>(+F21*'SUPUESTOS GASTOS'!$F$6)+'NOMINA 2022 PLANTA'!F21</f>
        <v>2194243.8</v>
      </c>
      <c r="H21" s="352"/>
      <c r="I21" s="352">
        <f t="shared" si="12"/>
        <v>2194243.8</v>
      </c>
      <c r="J21" s="352">
        <f>ROUND(+((G21/'SUPUESTOS GASTOS'!$F$12)*E21),0)</f>
        <v>25599511</v>
      </c>
      <c r="K21" s="352">
        <f>ROUND(+((I21*E21)/'SUPUESTOS GASTOS'!$F$10),0)</f>
        <v>2133293</v>
      </c>
      <c r="L21" s="352">
        <f>+ROUND(((I21/30)*E21)*0.01,-3)</f>
        <v>256000</v>
      </c>
      <c r="M21" s="352">
        <f t="shared" si="13"/>
        <v>2133293</v>
      </c>
      <c r="N21" s="352">
        <f>ROUND(+(G21*E21)/720,0)</f>
        <v>1066646</v>
      </c>
      <c r="O21" s="352">
        <f>ROUNDUP((+$J21)*'SUPUESTOS GASTOS'!$F$19,-3)</f>
        <v>3072000</v>
      </c>
      <c r="P21" s="352">
        <f>ROUNDUP((+$J21)*'SUPUESTOS GASTOS'!$F$20,-3)</f>
        <v>2176000</v>
      </c>
      <c r="Q21" s="373">
        <f>ROUNDUP((+$J21)*'SUPUESTOS GASTOS'!$F$25,-3)</f>
        <v>1114000</v>
      </c>
      <c r="R21" s="352">
        <f t="shared" si="14"/>
        <v>1067000</v>
      </c>
      <c r="S21" s="352">
        <f t="shared" si="15"/>
        <v>533000</v>
      </c>
      <c r="T21" s="352">
        <f t="shared" si="16"/>
        <v>800000</v>
      </c>
      <c r="U21" s="352">
        <f t="shared" si="4"/>
        <v>39950743</v>
      </c>
      <c r="V21" s="352"/>
      <c r="W21" s="431">
        <f t="shared" si="5"/>
        <v>39950743</v>
      </c>
      <c r="Y21" s="531">
        <v>0.0435</v>
      </c>
    </row>
    <row r="22" spans="1:25" ht="15">
      <c r="A22" s="337">
        <v>12</v>
      </c>
      <c r="B22" s="383" t="s">
        <v>359</v>
      </c>
      <c r="C22" s="351">
        <v>44572</v>
      </c>
      <c r="D22" s="351">
        <v>44925</v>
      </c>
      <c r="E22" s="446">
        <f t="shared" si="11"/>
        <v>350</v>
      </c>
      <c r="F22" s="352">
        <v>0</v>
      </c>
      <c r="G22" s="352">
        <f>+G21</f>
        <v>2194243.8</v>
      </c>
      <c r="H22" s="352"/>
      <c r="I22" s="352">
        <f t="shared" si="12"/>
        <v>2194243.8</v>
      </c>
      <c r="J22" s="352">
        <f>ROUND(+((G22/'SUPUESTOS GASTOS'!$F$12)*E22),0)</f>
        <v>25599511</v>
      </c>
      <c r="K22" s="352">
        <f>ROUND(+((I22*E22)/'SUPUESTOS GASTOS'!$F$10),0)</f>
        <v>2133293</v>
      </c>
      <c r="L22" s="352">
        <f>+ROUND(((I22/30)*E22)*0.01,-3)</f>
        <v>256000</v>
      </c>
      <c r="M22" s="352">
        <f t="shared" si="13"/>
        <v>2133293</v>
      </c>
      <c r="N22" s="352">
        <f>ROUND(+(G22*E22)/720,0)</f>
        <v>1066646</v>
      </c>
      <c r="O22" s="352">
        <f>ROUNDUP((+$J22)*'SUPUESTOS GASTOS'!$F$19,-3)</f>
        <v>3072000</v>
      </c>
      <c r="P22" s="352">
        <f>ROUNDUP((+$J22)*'SUPUESTOS GASTOS'!$F$20,-3)</f>
        <v>2176000</v>
      </c>
      <c r="Q22" s="373">
        <f>ROUNDUP((+$J22)*'SUPUESTOS GASTOS'!$F$25,-3)</f>
        <v>1114000</v>
      </c>
      <c r="R22" s="352">
        <f t="shared" si="14"/>
        <v>1067000</v>
      </c>
      <c r="S22" s="352">
        <f t="shared" si="15"/>
        <v>533000</v>
      </c>
      <c r="T22" s="352">
        <f t="shared" si="16"/>
        <v>800000</v>
      </c>
      <c r="U22" s="352">
        <f>SUM(J22:T22)</f>
        <v>39950743</v>
      </c>
      <c r="V22" s="352"/>
      <c r="W22" s="431">
        <f t="shared" si="5"/>
        <v>39950743</v>
      </c>
      <c r="Y22" s="531">
        <v>0.0435</v>
      </c>
    </row>
    <row r="23" spans="1:25" ht="15">
      <c r="A23" s="337">
        <v>13</v>
      </c>
      <c r="B23" s="383" t="s">
        <v>360</v>
      </c>
      <c r="C23" s="351">
        <v>44572</v>
      </c>
      <c r="D23" s="351">
        <v>44925</v>
      </c>
      <c r="E23" s="446">
        <f t="shared" si="11"/>
        <v>350</v>
      </c>
      <c r="F23" s="352">
        <v>0</v>
      </c>
      <c r="G23" s="352">
        <f>+G21</f>
        <v>2194243.8</v>
      </c>
      <c r="H23" s="352"/>
      <c r="I23" s="352">
        <f t="shared" si="12"/>
        <v>2194243.8</v>
      </c>
      <c r="J23" s="352">
        <f>ROUND(+((G23/'SUPUESTOS GASTOS'!$F$12)*E23),0)</f>
        <v>25599511</v>
      </c>
      <c r="K23" s="352">
        <f>ROUND(+((I23*E23)/'SUPUESTOS GASTOS'!$F$10),0)</f>
        <v>2133293</v>
      </c>
      <c r="L23" s="352">
        <f>+ROUND(((I23/30)*E23)*0.01,-3)</f>
        <v>256000</v>
      </c>
      <c r="M23" s="352">
        <f t="shared" si="13"/>
        <v>2133293</v>
      </c>
      <c r="N23" s="352">
        <f>ROUND(+(G23*E23)/720,0)</f>
        <v>1066646</v>
      </c>
      <c r="O23" s="352">
        <f>ROUNDUP((+$J23)*'SUPUESTOS GASTOS'!$F$19,-3)</f>
        <v>3072000</v>
      </c>
      <c r="P23" s="352">
        <f>ROUNDUP((+$J23)*'SUPUESTOS GASTOS'!$F$20,-3)</f>
        <v>2176000</v>
      </c>
      <c r="Q23" s="373">
        <f>ROUNDUP((+$J23)*'SUPUESTOS GASTOS'!$F$25,-3)</f>
        <v>1114000</v>
      </c>
      <c r="R23" s="352">
        <f t="shared" si="14"/>
        <v>1067000</v>
      </c>
      <c r="S23" s="352">
        <f t="shared" si="15"/>
        <v>533000</v>
      </c>
      <c r="T23" s="352">
        <f t="shared" si="16"/>
        <v>800000</v>
      </c>
      <c r="U23" s="352">
        <f>SUM(J23:T23)</f>
        <v>39950743</v>
      </c>
      <c r="V23" s="352"/>
      <c r="W23" s="431">
        <f t="shared" si="5"/>
        <v>39950743</v>
      </c>
      <c r="Y23" s="531">
        <v>0.0435</v>
      </c>
    </row>
    <row r="24" spans="1:25" ht="15">
      <c r="A24" s="337">
        <v>14</v>
      </c>
      <c r="B24" s="447" t="s">
        <v>381</v>
      </c>
      <c r="C24" s="351">
        <v>44564</v>
      </c>
      <c r="D24" s="351">
        <v>44925</v>
      </c>
      <c r="E24" s="384">
        <f t="shared" si="11"/>
        <v>358</v>
      </c>
      <c r="F24" s="352">
        <v>3709079</v>
      </c>
      <c r="G24" s="352">
        <f>(+F24*'SUPUESTOS GASTOS'!$F$6)+'NOMINA 2022 PLANTA'!F24</f>
        <v>3894532.95</v>
      </c>
      <c r="H24" s="352"/>
      <c r="I24" s="352">
        <f t="shared" si="12"/>
        <v>3894532.95</v>
      </c>
      <c r="J24" s="352">
        <f>ROUND(+((G24/'SUPUESTOS GASTOS'!$F$12)*E24),0)</f>
        <v>46474760</v>
      </c>
      <c r="K24" s="352">
        <f>ROUND(+((I24*E24)/'SUPUESTOS GASTOS'!$F$10),0)</f>
        <v>3872897</v>
      </c>
      <c r="L24" s="352">
        <f>+ROUND(((I24/30)*E24)*0.01,-3)</f>
        <v>465000</v>
      </c>
      <c r="M24" s="352">
        <f t="shared" si="13"/>
        <v>3872897</v>
      </c>
      <c r="N24" s="352">
        <f>ROUND(+(G24*E24)/720,0)</f>
        <v>1936448</v>
      </c>
      <c r="O24" s="352">
        <f>ROUNDUP((+$J24)*'SUPUESTOS GASTOS'!$F$19,-3)</f>
        <v>5577000</v>
      </c>
      <c r="P24" s="352">
        <f>ROUNDUP((+$J24)*'SUPUESTOS GASTOS'!$F$20,-3)</f>
        <v>3951000</v>
      </c>
      <c r="Q24" s="352">
        <f>ROUNDUP((+$J24)*'SUPUESTOS GASTOS'!$F$23,-3)</f>
        <v>1133000</v>
      </c>
      <c r="R24" s="352">
        <f t="shared" si="14"/>
        <v>1936000</v>
      </c>
      <c r="S24" s="352">
        <f t="shared" si="15"/>
        <v>968000</v>
      </c>
      <c r="T24" s="352">
        <f t="shared" si="16"/>
        <v>1452000</v>
      </c>
      <c r="U24" s="352">
        <f>SUM(J24:T24)</f>
        <v>71639002</v>
      </c>
      <c r="V24" s="352"/>
      <c r="W24" s="431">
        <f t="shared" si="5"/>
        <v>71639002</v>
      </c>
      <c r="X24" s="374"/>
      <c r="Y24" s="531">
        <v>0.02436</v>
      </c>
    </row>
    <row r="25" spans="1:25" ht="15">
      <c r="A25" s="337">
        <v>15</v>
      </c>
      <c r="B25" s="447" t="s">
        <v>311</v>
      </c>
      <c r="C25" s="351">
        <v>44564</v>
      </c>
      <c r="D25" s="351">
        <v>44925</v>
      </c>
      <c r="E25" s="384">
        <f t="shared" si="6"/>
        <v>358</v>
      </c>
      <c r="F25" s="352">
        <v>2265522</v>
      </c>
      <c r="G25" s="352">
        <f>(+F25*'SUPUESTOS GASTOS'!$F$6)+'NOMINA 2022 PLANTA'!F25</f>
        <v>2378798.1</v>
      </c>
      <c r="H25" s="352"/>
      <c r="I25" s="352">
        <f t="shared" si="1"/>
        <v>2378798.1</v>
      </c>
      <c r="J25" s="352">
        <f>ROUND(+((G25/'SUPUESTOS GASTOS'!$F$12)*E25),0)</f>
        <v>28386991</v>
      </c>
      <c r="K25" s="352">
        <f>ROUND(+((I25*E25)/'SUPUESTOS GASTOS'!$F$10),0)</f>
        <v>2365583</v>
      </c>
      <c r="L25" s="352">
        <f t="shared" si="10"/>
        <v>284000</v>
      </c>
      <c r="M25" s="352">
        <f t="shared" si="2"/>
        <v>2365583</v>
      </c>
      <c r="N25" s="352">
        <f t="shared" si="3"/>
        <v>1182791</v>
      </c>
      <c r="O25" s="352">
        <f>ROUNDUP((+$J25)*'SUPUESTOS GASTOS'!$F$19,-3)</f>
        <v>3407000</v>
      </c>
      <c r="P25" s="352">
        <f>ROUNDUP((+$J25)*'SUPUESTOS GASTOS'!$F$20,-3)</f>
        <v>2413000</v>
      </c>
      <c r="Q25" s="373">
        <f>ROUNDUP((+$J25)*'SUPUESTOS GASTOS'!$F$23,-3)</f>
        <v>692000</v>
      </c>
      <c r="R25" s="352">
        <f t="shared" si="7"/>
        <v>1183000</v>
      </c>
      <c r="S25" s="352">
        <f t="shared" si="8"/>
        <v>591000</v>
      </c>
      <c r="T25" s="352">
        <f t="shared" si="9"/>
        <v>887000</v>
      </c>
      <c r="U25" s="352">
        <f t="shared" si="4"/>
        <v>43757948</v>
      </c>
      <c r="V25" s="352"/>
      <c r="W25" s="431">
        <f t="shared" si="5"/>
        <v>43757948</v>
      </c>
      <c r="X25" s="375"/>
      <c r="Y25" s="531">
        <v>0.02436</v>
      </c>
    </row>
    <row r="26" spans="1:25" ht="15">
      <c r="A26" s="337">
        <v>16</v>
      </c>
      <c r="B26" s="447" t="s">
        <v>311</v>
      </c>
      <c r="C26" s="351">
        <v>44564</v>
      </c>
      <c r="D26" s="351">
        <v>44925</v>
      </c>
      <c r="E26" s="384">
        <f>DAYS360(C26,D26)+1</f>
        <v>358</v>
      </c>
      <c r="F26" s="352">
        <v>0</v>
      </c>
      <c r="G26" s="352">
        <f>+G25</f>
        <v>2378798.1</v>
      </c>
      <c r="H26" s="352"/>
      <c r="I26" s="352">
        <f>SUM(G26:H26)</f>
        <v>2378798.1</v>
      </c>
      <c r="J26" s="352">
        <f>ROUND(+((G26/'SUPUESTOS GASTOS'!$F$12)*E26),0)</f>
        <v>28386991</v>
      </c>
      <c r="K26" s="352">
        <f>ROUND(+((I26*E26)/'SUPUESTOS GASTOS'!$F$10),0)</f>
        <v>2365583</v>
      </c>
      <c r="L26" s="352">
        <f>+ROUND(((I26/30)*E26)*0.01,-3)</f>
        <v>284000</v>
      </c>
      <c r="M26" s="352">
        <f>+K26</f>
        <v>2365583</v>
      </c>
      <c r="N26" s="352">
        <f>ROUND(+(G26*E26)/720,0)</f>
        <v>1182791</v>
      </c>
      <c r="O26" s="352">
        <f>ROUNDUP((+$J26)*'SUPUESTOS GASTOS'!$F$19,-3)</f>
        <v>3407000</v>
      </c>
      <c r="P26" s="352">
        <f>ROUNDUP((+$J26)*'SUPUESTOS GASTOS'!$F$20,-3)</f>
        <v>2413000</v>
      </c>
      <c r="Q26" s="373">
        <f>ROUNDUP((+$J26)*'SUPUESTOS GASTOS'!$F$23,-3)</f>
        <v>692000</v>
      </c>
      <c r="R26" s="352">
        <f>ROUND((J26*4%)+(N26*4%),-3)</f>
        <v>1183000</v>
      </c>
      <c r="S26" s="352">
        <f>ROUND((J26*2%)+(N26*2%),0-3)</f>
        <v>591000</v>
      </c>
      <c r="T26" s="352">
        <f>ROUND((J26*3%)+(N26*3%),-3)</f>
        <v>887000</v>
      </c>
      <c r="U26" s="352">
        <f>SUM(J26:T26)</f>
        <v>43757948</v>
      </c>
      <c r="V26" s="352"/>
      <c r="W26" s="431">
        <f t="shared" si="5"/>
        <v>43757948</v>
      </c>
      <c r="X26" s="375"/>
      <c r="Y26" s="531">
        <v>0.02436</v>
      </c>
    </row>
    <row r="27" spans="1:25" ht="15">
      <c r="A27" s="337">
        <v>17</v>
      </c>
      <c r="B27" s="383" t="s">
        <v>203</v>
      </c>
      <c r="C27" s="351">
        <v>44564</v>
      </c>
      <c r="D27" s="351">
        <v>44925</v>
      </c>
      <c r="E27" s="384">
        <f>DAYS360(C27,D27)+1</f>
        <v>358</v>
      </c>
      <c r="F27" s="352">
        <v>1437474</v>
      </c>
      <c r="G27" s="352">
        <f>+F27*(1+'SUPUESTOS GASTOS'!$F$6)</f>
        <v>1509347.7</v>
      </c>
      <c r="H27" s="352">
        <f>+'SUPUESTOS GASTOS'!F14</f>
        <v>111776.7</v>
      </c>
      <c r="I27" s="352">
        <f>SUM(G27:H27)</f>
        <v>1621124.4</v>
      </c>
      <c r="J27" s="352">
        <f>ROUND(+((G27/'SUPUESTOS GASTOS'!$F$12)*E27),0)+6</f>
        <v>18011555</v>
      </c>
      <c r="K27" s="352">
        <f>ROUND(+((I27*E27)/'SUPUESTOS GASTOS'!$F$10),0)+1</f>
        <v>1612119</v>
      </c>
      <c r="L27" s="352">
        <f>+ROUND(((I27/30)*E27)*0.01,-3)</f>
        <v>193000</v>
      </c>
      <c r="M27" s="352">
        <f>+K27</f>
        <v>1612119</v>
      </c>
      <c r="N27" s="352">
        <f>ROUND(+(G27*E27)/720,0)</f>
        <v>750481</v>
      </c>
      <c r="O27" s="352">
        <f>ROUNDUP((+$J27)*'SUPUESTOS GASTOS'!$F$19,-3)</f>
        <v>2162000</v>
      </c>
      <c r="P27" s="352">
        <f>ROUNDUP((+$J27)*'SUPUESTOS GASTOS'!$F$20,-3)</f>
        <v>1531000</v>
      </c>
      <c r="Q27" s="352">
        <f>ROUNDUP((+$J27)*'SUPUESTOS GASTOS'!$F$23,-3)</f>
        <v>439000</v>
      </c>
      <c r="R27" s="352">
        <f t="shared" si="7"/>
        <v>750000</v>
      </c>
      <c r="S27" s="352">
        <f>ROUND((J27*2%)+(N27*2%),0-3)</f>
        <v>375000</v>
      </c>
      <c r="T27" s="352">
        <f>ROUND((J27*3%)+(N27*3%),-3)</f>
        <v>563000</v>
      </c>
      <c r="U27" s="352">
        <f>ROUND(SUM(J27:T27)+((H27/30)*E27),0)</f>
        <v>29333143</v>
      </c>
      <c r="V27" s="352">
        <f>+U31</f>
        <v>1500000</v>
      </c>
      <c r="W27" s="431">
        <f t="shared" si="5"/>
        <v>30833143</v>
      </c>
      <c r="Y27" s="531">
        <v>0.02436</v>
      </c>
    </row>
    <row r="28" spans="1:25" ht="15.75" thickBot="1">
      <c r="A28" s="337">
        <v>18</v>
      </c>
      <c r="B28" s="539" t="s">
        <v>135</v>
      </c>
      <c r="C28" s="540">
        <v>44564</v>
      </c>
      <c r="D28" s="540">
        <v>44925</v>
      </c>
      <c r="E28" s="541">
        <f t="shared" si="6"/>
        <v>358</v>
      </c>
      <c r="F28" s="542">
        <v>1197895</v>
      </c>
      <c r="G28" s="542">
        <f>+F28*(1+'SUPUESTOS GASTOS'!$F$6)</f>
        <v>1257789.75</v>
      </c>
      <c r="H28" s="542">
        <f>+'SUPUESTOS GASTOS'!F14</f>
        <v>111776.7</v>
      </c>
      <c r="I28" s="542">
        <f>SUM(G28:H28)</f>
        <v>1369566.45</v>
      </c>
      <c r="J28" s="542">
        <f>ROUND(+((G28/'SUPUESTOS GASTOS'!$F$12)*E28),0)</f>
        <v>15009624</v>
      </c>
      <c r="K28" s="542">
        <f>ROUND(+((I28*E28)/'SUPUESTOS GASTOS'!$F$10),0)</f>
        <v>1361958</v>
      </c>
      <c r="L28" s="542">
        <f t="shared" si="10"/>
        <v>163000</v>
      </c>
      <c r="M28" s="542">
        <f>+K28</f>
        <v>1361958</v>
      </c>
      <c r="N28" s="542">
        <f t="shared" si="3"/>
        <v>625401</v>
      </c>
      <c r="O28" s="542">
        <f>ROUNDUP((+$J28)*'SUPUESTOS GASTOS'!$F$19,-3)</f>
        <v>1802000</v>
      </c>
      <c r="P28" s="542">
        <f>ROUNDUP((+$J28)*'SUPUESTOS GASTOS'!$F$20,-3)</f>
        <v>1276000</v>
      </c>
      <c r="Q28" s="542">
        <f>ROUNDUP((+$J28)*'SUPUESTOS GASTOS'!$F$22,-3)</f>
        <v>79000</v>
      </c>
      <c r="R28" s="542">
        <f t="shared" si="7"/>
        <v>625000</v>
      </c>
      <c r="S28" s="542">
        <f t="shared" si="8"/>
        <v>313000</v>
      </c>
      <c r="T28" s="542">
        <f t="shared" si="9"/>
        <v>469000</v>
      </c>
      <c r="U28" s="542">
        <f>ROUND(SUM(J28:T28)+((H28/30)*E28),0)</f>
        <v>24419810</v>
      </c>
      <c r="V28" s="542">
        <f>+U31</f>
        <v>1500000</v>
      </c>
      <c r="W28" s="543">
        <f t="shared" si="5"/>
        <v>25919810</v>
      </c>
      <c r="Y28" s="531">
        <v>0.00522</v>
      </c>
    </row>
    <row r="29" spans="2:25" s="353" customFormat="1" ht="15.75" thickBot="1">
      <c r="B29" s="544" t="s">
        <v>28</v>
      </c>
      <c r="C29" s="545"/>
      <c r="D29" s="545"/>
      <c r="E29" s="546"/>
      <c r="F29" s="547">
        <f aca="true" t="shared" si="17" ref="F29:W29">SUM(F13:F28)</f>
        <v>29745786</v>
      </c>
      <c r="G29" s="547">
        <f t="shared" si="17"/>
        <v>38000361.00000001</v>
      </c>
      <c r="H29" s="547">
        <f t="shared" si="17"/>
        <v>223553.4</v>
      </c>
      <c r="I29" s="547">
        <f t="shared" si="17"/>
        <v>38223914.400000006</v>
      </c>
      <c r="J29" s="547">
        <f t="shared" si="17"/>
        <v>447619664</v>
      </c>
      <c r="K29" s="547">
        <f t="shared" si="17"/>
        <v>37523956</v>
      </c>
      <c r="L29" s="547">
        <f t="shared" si="17"/>
        <v>4503000</v>
      </c>
      <c r="M29" s="547">
        <f t="shared" si="17"/>
        <v>37523956</v>
      </c>
      <c r="N29" s="547">
        <f t="shared" si="17"/>
        <v>18650815</v>
      </c>
      <c r="O29" s="547">
        <f t="shared" si="17"/>
        <v>53718000</v>
      </c>
      <c r="P29" s="547">
        <f t="shared" si="17"/>
        <v>38050000</v>
      </c>
      <c r="Q29" s="547">
        <f t="shared" si="17"/>
        <v>15524000</v>
      </c>
      <c r="R29" s="547">
        <f t="shared" si="17"/>
        <v>18653000</v>
      </c>
      <c r="S29" s="547">
        <f t="shared" si="17"/>
        <v>9321000</v>
      </c>
      <c r="T29" s="547">
        <f t="shared" si="17"/>
        <v>13988000</v>
      </c>
      <c r="U29" s="547">
        <f t="shared" si="17"/>
        <v>697743129</v>
      </c>
      <c r="V29" s="547">
        <f t="shared" si="17"/>
        <v>3000000</v>
      </c>
      <c r="W29" s="548">
        <f t="shared" si="17"/>
        <v>700743129</v>
      </c>
      <c r="X29" s="563"/>
      <c r="Y29" s="533"/>
    </row>
    <row r="30" spans="6:23" ht="15.75" thickBot="1">
      <c r="F30" s="378"/>
      <c r="G30" s="378"/>
      <c r="H30" s="378"/>
      <c r="I30" s="378"/>
      <c r="J30" s="378"/>
      <c r="K30" s="378"/>
      <c r="L30" s="378"/>
      <c r="M30" s="378"/>
      <c r="N30" s="378"/>
      <c r="O30" s="356"/>
      <c r="P30" s="356"/>
      <c r="Q30" s="356"/>
      <c r="R30" s="356"/>
      <c r="S30" s="356"/>
      <c r="T30" s="355"/>
      <c r="U30" s="355"/>
      <c r="V30" s="356"/>
      <c r="W30" s="356"/>
    </row>
    <row r="31" spans="2:25" s="353" customFormat="1" ht="15.75" thickBot="1">
      <c r="B31" s="357" t="s">
        <v>94</v>
      </c>
      <c r="C31" s="358"/>
      <c r="D31" s="358"/>
      <c r="E31" s="359"/>
      <c r="F31" s="360"/>
      <c r="G31" s="361"/>
      <c r="H31" s="361"/>
      <c r="I31" s="361"/>
      <c r="J31" s="361"/>
      <c r="K31" s="361"/>
      <c r="L31" s="361"/>
      <c r="M31" s="361"/>
      <c r="N31" s="361"/>
      <c r="O31" s="362"/>
      <c r="P31" s="362"/>
      <c r="Q31" s="362"/>
      <c r="R31" s="362"/>
      <c r="S31" s="362"/>
      <c r="T31" s="362"/>
      <c r="U31" s="363">
        <v>1500000</v>
      </c>
      <c r="V31" s="364"/>
      <c r="W31" s="364"/>
      <c r="Y31" s="332"/>
    </row>
    <row r="32" spans="2:23" ht="15.75" thickBot="1">
      <c r="B32" s="365"/>
      <c r="C32" s="365"/>
      <c r="D32" s="365"/>
      <c r="E32" s="341"/>
      <c r="F32" s="379"/>
      <c r="G32" s="378"/>
      <c r="H32" s="378"/>
      <c r="I32" s="378"/>
      <c r="J32" s="378"/>
      <c r="K32" s="378"/>
      <c r="L32" s="378"/>
      <c r="M32" s="378"/>
      <c r="N32" s="378"/>
      <c r="O32" s="356"/>
      <c r="P32" s="356"/>
      <c r="Q32" s="356"/>
      <c r="R32" s="356"/>
      <c r="S32" s="356"/>
      <c r="T32" s="356"/>
      <c r="U32" s="356"/>
      <c r="V32" s="356"/>
      <c r="W32" s="356"/>
    </row>
    <row r="33" spans="2:25" s="343" customFormat="1" ht="15.75" thickBot="1">
      <c r="B33" s="344"/>
      <c r="C33" s="344"/>
      <c r="D33" s="344"/>
      <c r="E33" s="344"/>
      <c r="F33" s="455" t="s">
        <v>276</v>
      </c>
      <c r="G33" s="696" t="s">
        <v>313</v>
      </c>
      <c r="H33" s="696"/>
      <c r="I33" s="697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9"/>
      <c r="V33" s="370"/>
      <c r="W33" s="370"/>
      <c r="Y33" s="526"/>
    </row>
    <row r="34" spans="2:25" s="348" customFormat="1" ht="31.5" thickBot="1">
      <c r="B34" s="430" t="s">
        <v>272</v>
      </c>
      <c r="C34" s="426" t="s">
        <v>98</v>
      </c>
      <c r="D34" s="426" t="s">
        <v>99</v>
      </c>
      <c r="E34" s="427" t="s">
        <v>228</v>
      </c>
      <c r="F34" s="428" t="s">
        <v>1</v>
      </c>
      <c r="G34" s="428" t="s">
        <v>1</v>
      </c>
      <c r="H34" s="428" t="s">
        <v>34</v>
      </c>
      <c r="I34" s="428" t="s">
        <v>2</v>
      </c>
      <c r="J34" s="429" t="s">
        <v>3</v>
      </c>
      <c r="K34" s="429" t="s">
        <v>4</v>
      </c>
      <c r="L34" s="429" t="s">
        <v>5</v>
      </c>
      <c r="M34" s="429" t="s">
        <v>6</v>
      </c>
      <c r="N34" s="429" t="s">
        <v>7</v>
      </c>
      <c r="O34" s="429" t="s">
        <v>8</v>
      </c>
      <c r="P34" s="429" t="s">
        <v>9</v>
      </c>
      <c r="Q34" s="429" t="s">
        <v>10</v>
      </c>
      <c r="R34" s="429" t="s">
        <v>11</v>
      </c>
      <c r="S34" s="429" t="s">
        <v>12</v>
      </c>
      <c r="T34" s="429" t="s">
        <v>13</v>
      </c>
      <c r="U34" s="429" t="s">
        <v>14</v>
      </c>
      <c r="V34" s="429" t="s">
        <v>87</v>
      </c>
      <c r="W34" s="448" t="s">
        <v>125</v>
      </c>
      <c r="Y34" s="527" t="s">
        <v>382</v>
      </c>
    </row>
    <row r="35" spans="1:25" ht="15">
      <c r="A35" s="337">
        <v>19</v>
      </c>
      <c r="B35" s="440" t="s">
        <v>299</v>
      </c>
      <c r="C35" s="349">
        <v>44564</v>
      </c>
      <c r="D35" s="349">
        <v>44925</v>
      </c>
      <c r="E35" s="441">
        <f>DAYS360(C35,D35)+1</f>
        <v>358</v>
      </c>
      <c r="F35" s="350">
        <v>4417768</v>
      </c>
      <c r="G35" s="350">
        <f>(+F35*'SUPUESTOS GASTOS'!$F$6)+'NOMINA 2022 PLANTA'!F35</f>
        <v>4638656.4</v>
      </c>
      <c r="H35" s="350"/>
      <c r="I35" s="350">
        <f>SUM(G35:H35)</f>
        <v>4638656.4</v>
      </c>
      <c r="J35" s="350">
        <f>ROUND(+((G35/'SUPUESTOS GASTOS'!$F$12)*E35),0)</f>
        <v>55354633</v>
      </c>
      <c r="K35" s="350">
        <f>ROUND(+((I35*E35)/'SUPUESTOS GASTOS'!$F$10),0)</f>
        <v>4612886</v>
      </c>
      <c r="L35" s="350">
        <f>+ROUND(((I35/30)*E35)*0.01,-3)</f>
        <v>554000</v>
      </c>
      <c r="M35" s="350">
        <f>+K35</f>
        <v>4612886</v>
      </c>
      <c r="N35" s="350">
        <f>ROUND(+(G35*E35)/720,0)</f>
        <v>2306443</v>
      </c>
      <c r="O35" s="350">
        <f>ROUNDUP((+$J35)*'SUPUESTOS GASTOS'!$F$19,-3)</f>
        <v>6643000</v>
      </c>
      <c r="P35" s="350">
        <f>ROUNDUP((+$J35)*'SUPUESTOS GASTOS'!$F$20,-3)</f>
        <v>4706000</v>
      </c>
      <c r="Q35" s="372">
        <f>ROUNDUP((+$J35)*'SUPUESTOS GASTOS'!$F$23,-3)</f>
        <v>1349000</v>
      </c>
      <c r="R35" s="350">
        <f>ROUND((J35*4%)+(N35*4%),-3)</f>
        <v>2306000</v>
      </c>
      <c r="S35" s="350">
        <f>ROUND((J35*2%)+(N35*2%),0-3)</f>
        <v>1153000</v>
      </c>
      <c r="T35" s="350">
        <f>ROUND((J35*3%)+(N35*3%),-3)</f>
        <v>1730000</v>
      </c>
      <c r="U35" s="350">
        <f>SUM(J35:T35)</f>
        <v>85327848</v>
      </c>
      <c r="V35" s="442">
        <v>0</v>
      </c>
      <c r="W35" s="443">
        <f>+V35+U35</f>
        <v>85327848</v>
      </c>
      <c r="Y35" s="530">
        <v>0.02436</v>
      </c>
    </row>
    <row r="36" spans="1:25" ht="15">
      <c r="A36" s="337">
        <v>20</v>
      </c>
      <c r="B36" s="447" t="s">
        <v>385</v>
      </c>
      <c r="C36" s="351">
        <v>44564</v>
      </c>
      <c r="D36" s="351">
        <v>44925</v>
      </c>
      <c r="E36" s="384">
        <f>DAYS360(C36,D36)+1</f>
        <v>358</v>
      </c>
      <c r="F36" s="352">
        <v>0</v>
      </c>
      <c r="G36" s="352">
        <f>+G24</f>
        <v>3894532.95</v>
      </c>
      <c r="H36" s="352"/>
      <c r="I36" s="352">
        <f>SUM(G36:H36)</f>
        <v>3894532.95</v>
      </c>
      <c r="J36" s="352">
        <f>ROUND(+((G36/'SUPUESTOS GASTOS'!$F$12)*E36),0)</f>
        <v>46474760</v>
      </c>
      <c r="K36" s="352">
        <f>ROUND(+((I36*E36)/'SUPUESTOS GASTOS'!$F$10),0)</f>
        <v>3872897</v>
      </c>
      <c r="L36" s="352">
        <f>+ROUND(((I36/30)*E36)*0.01,-3)</f>
        <v>465000</v>
      </c>
      <c r="M36" s="352">
        <f>+K36</f>
        <v>3872897</v>
      </c>
      <c r="N36" s="352">
        <f>ROUND(+(G36*E36)/720,0)</f>
        <v>1936448</v>
      </c>
      <c r="O36" s="352">
        <f>ROUNDUP((+$J36)*'SUPUESTOS GASTOS'!$F$19,-3)</f>
        <v>5577000</v>
      </c>
      <c r="P36" s="352">
        <f>ROUNDUP((+$J36)*'SUPUESTOS GASTOS'!$F$20,-3)</f>
        <v>3951000</v>
      </c>
      <c r="Q36" s="352">
        <f>ROUNDUP((+$J36)*'SUPUESTOS GASTOS'!$F$23,-3)</f>
        <v>1133000</v>
      </c>
      <c r="R36" s="352">
        <f>ROUND((J36*4%)+(N36*4%),-3)</f>
        <v>1936000</v>
      </c>
      <c r="S36" s="352">
        <f>ROUND((J36*2%)+(N36*2%),0-3)</f>
        <v>968000</v>
      </c>
      <c r="T36" s="352">
        <f>ROUND((J36*3%)+(N36*3%),-3)</f>
        <v>1452000</v>
      </c>
      <c r="U36" s="352">
        <f>SUM(J36:T36)</f>
        <v>71639002</v>
      </c>
      <c r="V36" s="352"/>
      <c r="W36" s="431">
        <f>+U36+V36</f>
        <v>71639002</v>
      </c>
      <c r="Y36" s="531">
        <v>0.02436</v>
      </c>
    </row>
    <row r="37" spans="1:25" ht="15">
      <c r="A37" s="337">
        <v>21</v>
      </c>
      <c r="B37" s="447" t="s">
        <v>328</v>
      </c>
      <c r="C37" s="351">
        <v>44564</v>
      </c>
      <c r="D37" s="351">
        <v>44925</v>
      </c>
      <c r="E37" s="384">
        <f>DAYS360(C37,D37)+1</f>
        <v>358</v>
      </c>
      <c r="F37" s="352">
        <v>2265522</v>
      </c>
      <c r="G37" s="352">
        <f>(+F37*'SUPUESTOS GASTOS'!$F$6)+'NOMINA 2022 PLANTA'!F37</f>
        <v>2378798.1</v>
      </c>
      <c r="H37" s="352"/>
      <c r="I37" s="352">
        <f>SUM(G37:H37)</f>
        <v>2378798.1</v>
      </c>
      <c r="J37" s="352">
        <f>ROUND(+((G37/'SUPUESTOS GASTOS'!$F$12)*E37),0)</f>
        <v>28386991</v>
      </c>
      <c r="K37" s="352">
        <f>ROUND(+((I37*E37)/'SUPUESTOS GASTOS'!$F$10),0)</f>
        <v>2365583</v>
      </c>
      <c r="L37" s="352">
        <f>+ROUND(((I37/30)*E37)*0.01,-3)</f>
        <v>284000</v>
      </c>
      <c r="M37" s="352">
        <f>+K37</f>
        <v>2365583</v>
      </c>
      <c r="N37" s="352">
        <f>ROUND(+(G37*E37)/720,0)</f>
        <v>1182791</v>
      </c>
      <c r="O37" s="352">
        <f>ROUNDUP((+$J37)*'SUPUESTOS GASTOS'!$F$19,-3)</f>
        <v>3407000</v>
      </c>
      <c r="P37" s="352">
        <f>ROUNDUP((+$J37)*'SUPUESTOS GASTOS'!$F$20,-3)</f>
        <v>2413000</v>
      </c>
      <c r="Q37" s="352">
        <f>ROUNDUP((+$J37)*'SUPUESTOS GASTOS'!$F$23,-3)</f>
        <v>692000</v>
      </c>
      <c r="R37" s="352">
        <f>ROUND((J37*4%)+(N37*4%),-3)</f>
        <v>1183000</v>
      </c>
      <c r="S37" s="352">
        <f>ROUND((J37*2%)+(N37*2%),0-3)</f>
        <v>591000</v>
      </c>
      <c r="T37" s="352">
        <f>ROUND((J37*3%)+(N37*3%),-3)</f>
        <v>887000</v>
      </c>
      <c r="U37" s="352">
        <f>SUM(J37:T37)</f>
        <v>43757948</v>
      </c>
      <c r="V37" s="352"/>
      <c r="W37" s="431">
        <f>+U37+V37</f>
        <v>43757948</v>
      </c>
      <c r="Y37" s="531">
        <v>0.02436</v>
      </c>
    </row>
    <row r="38" spans="1:25" ht="15.75" thickBot="1">
      <c r="A38" s="337">
        <v>22</v>
      </c>
      <c r="B38" s="539" t="s">
        <v>300</v>
      </c>
      <c r="C38" s="540">
        <v>44564</v>
      </c>
      <c r="D38" s="540">
        <v>44925</v>
      </c>
      <c r="E38" s="541">
        <f>DAYS360(C38,D38)+1</f>
        <v>358</v>
      </c>
      <c r="F38" s="542">
        <v>0</v>
      </c>
      <c r="G38" s="542">
        <f>+G37</f>
        <v>2378798.1</v>
      </c>
      <c r="H38" s="542"/>
      <c r="I38" s="542">
        <f>SUM(G38:H38)</f>
        <v>2378798.1</v>
      </c>
      <c r="J38" s="542">
        <f>ROUND(+((G38/'SUPUESTOS GASTOS'!$F$12)*E38),0)</f>
        <v>28386991</v>
      </c>
      <c r="K38" s="542">
        <f>ROUND(+((I38*E38)/'SUPUESTOS GASTOS'!$F$10),0)</f>
        <v>2365583</v>
      </c>
      <c r="L38" s="542">
        <f>+ROUND(((I38/30)*E38)*0.01,-3)</f>
        <v>284000</v>
      </c>
      <c r="M38" s="542">
        <f>+K38</f>
        <v>2365583</v>
      </c>
      <c r="N38" s="542">
        <f>ROUND(+(G38*E38)/720,0)</f>
        <v>1182791</v>
      </c>
      <c r="O38" s="542">
        <f>ROUNDUP((+$J38)*'SUPUESTOS GASTOS'!$F$19,-3)</f>
        <v>3407000</v>
      </c>
      <c r="P38" s="542">
        <f>ROUNDUP((+$J38)*'SUPUESTOS GASTOS'!$F$20,-3)</f>
        <v>2413000</v>
      </c>
      <c r="Q38" s="542">
        <f>ROUNDUP((+$J38)*'SUPUESTOS GASTOS'!$F$23,-3)</f>
        <v>692000</v>
      </c>
      <c r="R38" s="542">
        <f>ROUND((J38*4%)+(N38*4%),-3)</f>
        <v>1183000</v>
      </c>
      <c r="S38" s="542">
        <f>ROUND((J38*2%)+(N38*2%),0-3)</f>
        <v>591000</v>
      </c>
      <c r="T38" s="542">
        <f>ROUND((J38*3%)+(N38*3%),-3)</f>
        <v>887000</v>
      </c>
      <c r="U38" s="542">
        <f>SUM(J38:T38)</f>
        <v>43757948</v>
      </c>
      <c r="V38" s="542"/>
      <c r="W38" s="543">
        <f>+U38+V38</f>
        <v>43757948</v>
      </c>
      <c r="Y38" s="531">
        <v>0.02436</v>
      </c>
    </row>
    <row r="39" spans="2:25" s="353" customFormat="1" ht="15.75" thickBot="1">
      <c r="B39" s="544" t="s">
        <v>28</v>
      </c>
      <c r="C39" s="545"/>
      <c r="D39" s="545"/>
      <c r="E39" s="546"/>
      <c r="F39" s="547">
        <f aca="true" t="shared" si="18" ref="F39:W39">SUM(F35:F38)</f>
        <v>6683290</v>
      </c>
      <c r="G39" s="547">
        <f t="shared" si="18"/>
        <v>13290785.55</v>
      </c>
      <c r="H39" s="547">
        <f t="shared" si="18"/>
        <v>0</v>
      </c>
      <c r="I39" s="547">
        <f t="shared" si="18"/>
        <v>13290785.55</v>
      </c>
      <c r="J39" s="547">
        <f t="shared" si="18"/>
        <v>158603375</v>
      </c>
      <c r="K39" s="547">
        <f t="shared" si="18"/>
        <v>13216949</v>
      </c>
      <c r="L39" s="547">
        <f t="shared" si="18"/>
        <v>1587000</v>
      </c>
      <c r="M39" s="547">
        <f t="shared" si="18"/>
        <v>13216949</v>
      </c>
      <c r="N39" s="547">
        <f t="shared" si="18"/>
        <v>6608473</v>
      </c>
      <c r="O39" s="547">
        <f t="shared" si="18"/>
        <v>19034000</v>
      </c>
      <c r="P39" s="547">
        <f t="shared" si="18"/>
        <v>13483000</v>
      </c>
      <c r="Q39" s="547">
        <f t="shared" si="18"/>
        <v>3866000</v>
      </c>
      <c r="R39" s="547">
        <f t="shared" si="18"/>
        <v>6608000</v>
      </c>
      <c r="S39" s="547">
        <f t="shared" si="18"/>
        <v>3303000</v>
      </c>
      <c r="T39" s="547">
        <f t="shared" si="18"/>
        <v>4956000</v>
      </c>
      <c r="U39" s="547">
        <f t="shared" si="18"/>
        <v>244482746</v>
      </c>
      <c r="V39" s="547">
        <f t="shared" si="18"/>
        <v>0</v>
      </c>
      <c r="W39" s="548">
        <f t="shared" si="18"/>
        <v>244482746</v>
      </c>
      <c r="Y39" s="533"/>
    </row>
    <row r="40" spans="2:25" ht="15.75" thickBot="1">
      <c r="B40" s="365"/>
      <c r="C40" s="365"/>
      <c r="D40" s="365"/>
      <c r="E40" s="341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55"/>
      <c r="U40" s="355"/>
      <c r="V40" s="356"/>
      <c r="W40" s="356"/>
      <c r="Y40" s="535"/>
    </row>
    <row r="41" spans="2:25" s="343" customFormat="1" ht="15.75" thickBot="1">
      <c r="B41" s="344"/>
      <c r="C41" s="344"/>
      <c r="D41" s="344"/>
      <c r="E41" s="344"/>
      <c r="F41" s="455" t="s">
        <v>276</v>
      </c>
      <c r="G41" s="696" t="s">
        <v>313</v>
      </c>
      <c r="H41" s="696"/>
      <c r="I41" s="697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9"/>
      <c r="V41" s="370"/>
      <c r="W41" s="370"/>
      <c r="Y41" s="526"/>
    </row>
    <row r="42" spans="2:25" s="348" customFormat="1" ht="36" customHeight="1" thickBot="1">
      <c r="B42" s="430" t="s">
        <v>386</v>
      </c>
      <c r="C42" s="426" t="s">
        <v>98</v>
      </c>
      <c r="D42" s="426" t="s">
        <v>99</v>
      </c>
      <c r="E42" s="427" t="s">
        <v>228</v>
      </c>
      <c r="F42" s="428" t="s">
        <v>1</v>
      </c>
      <c r="G42" s="428" t="s">
        <v>1</v>
      </c>
      <c r="H42" s="428" t="s">
        <v>34</v>
      </c>
      <c r="I42" s="428" t="s">
        <v>2</v>
      </c>
      <c r="J42" s="429" t="s">
        <v>3</v>
      </c>
      <c r="K42" s="429" t="s">
        <v>4</v>
      </c>
      <c r="L42" s="429" t="s">
        <v>5</v>
      </c>
      <c r="M42" s="429" t="s">
        <v>6</v>
      </c>
      <c r="N42" s="429" t="s">
        <v>7</v>
      </c>
      <c r="O42" s="429" t="s">
        <v>8</v>
      </c>
      <c r="P42" s="429" t="s">
        <v>9</v>
      </c>
      <c r="Q42" s="429" t="s">
        <v>10</v>
      </c>
      <c r="R42" s="429" t="s">
        <v>11</v>
      </c>
      <c r="S42" s="429" t="s">
        <v>12</v>
      </c>
      <c r="T42" s="429" t="s">
        <v>13</v>
      </c>
      <c r="U42" s="429" t="s">
        <v>14</v>
      </c>
      <c r="V42" s="429" t="s">
        <v>87</v>
      </c>
      <c r="W42" s="448" t="s">
        <v>125</v>
      </c>
      <c r="Y42" s="527" t="s">
        <v>382</v>
      </c>
    </row>
    <row r="43" spans="1:25" ht="15">
      <c r="A43" s="337">
        <v>23</v>
      </c>
      <c r="B43" s="440" t="s">
        <v>268</v>
      </c>
      <c r="C43" s="349">
        <v>44564</v>
      </c>
      <c r="D43" s="349">
        <v>44925</v>
      </c>
      <c r="E43" s="441">
        <f aca="true" t="shared" si="19" ref="E43:E50">DAYS360(C43,D43)+1</f>
        <v>358</v>
      </c>
      <c r="F43" s="350">
        <v>4417768</v>
      </c>
      <c r="G43" s="350">
        <f>+F43*(1+'SUPUESTOS GASTOS'!$F$6)</f>
        <v>4638656.4</v>
      </c>
      <c r="H43" s="350"/>
      <c r="I43" s="350">
        <f>SUM(G43:H43)</f>
        <v>4638656.4</v>
      </c>
      <c r="J43" s="350">
        <f>ROUND(+((G43/'SUPUESTOS GASTOS'!$F$12)*E43),0)</f>
        <v>55354633</v>
      </c>
      <c r="K43" s="350">
        <f>ROUND(+((I43*E43)/'SUPUESTOS GASTOS'!$F$10),0)</f>
        <v>4612886</v>
      </c>
      <c r="L43" s="350">
        <f>+ROUND(((I43/30)*E43)*0.01,-3)</f>
        <v>554000</v>
      </c>
      <c r="M43" s="350">
        <f aca="true" t="shared" si="20" ref="M43:M49">+K43</f>
        <v>4612886</v>
      </c>
      <c r="N43" s="350">
        <f>ROUND(+(G43*E43)/720,0)</f>
        <v>2306443</v>
      </c>
      <c r="O43" s="350">
        <f>ROUNDUP((+$J43)*'SUPUESTOS GASTOS'!$F$19,-3)</f>
        <v>6643000</v>
      </c>
      <c r="P43" s="350">
        <f>ROUNDUP((+$J43)*'SUPUESTOS GASTOS'!$F$20,-3)</f>
        <v>4706000</v>
      </c>
      <c r="Q43" s="372">
        <f>ROUNDUP((+$J43)*'SUPUESTOS GASTOS'!$F$23,-3)</f>
        <v>1349000</v>
      </c>
      <c r="R43" s="350">
        <f>ROUND((J43*4%)+(N43*4%),-3)</f>
        <v>2306000</v>
      </c>
      <c r="S43" s="350">
        <f>ROUND((J43*2%)+(N43*2%),0-3)</f>
        <v>1153000</v>
      </c>
      <c r="T43" s="350">
        <f>ROUND((J43*3%)+(N43*3%),-3)</f>
        <v>1730000</v>
      </c>
      <c r="U43" s="350">
        <f>SUM(J43:T43)</f>
        <v>85327848</v>
      </c>
      <c r="V43" s="442"/>
      <c r="W43" s="443">
        <f>+U43</f>
        <v>85327848</v>
      </c>
      <c r="Y43" s="530">
        <v>0.02436</v>
      </c>
    </row>
    <row r="44" spans="1:25" ht="15">
      <c r="A44" s="337">
        <v>24</v>
      </c>
      <c r="B44" s="383" t="s">
        <v>269</v>
      </c>
      <c r="C44" s="351">
        <v>44564</v>
      </c>
      <c r="D44" s="351">
        <v>44925</v>
      </c>
      <c r="E44" s="384">
        <f t="shared" si="19"/>
        <v>358</v>
      </c>
      <c r="F44" s="352">
        <v>1197895</v>
      </c>
      <c r="G44" s="352">
        <f>+F44*(1+'SUPUESTOS GASTOS'!$F$6)</f>
        <v>1257789.75</v>
      </c>
      <c r="H44" s="352">
        <f>+'SUPUESTOS GASTOS'!F14</f>
        <v>111776.7</v>
      </c>
      <c r="I44" s="352">
        <f>+G44+H44</f>
        <v>1369566.45</v>
      </c>
      <c r="J44" s="352">
        <f>ROUND(+((G44/'SUPUESTOS GASTOS'!$F$12)*E44),0)</f>
        <v>15009624</v>
      </c>
      <c r="K44" s="352">
        <f>ROUND(+((I44*E44)/'SUPUESTOS GASTOS'!$F$10),0)</f>
        <v>1361958</v>
      </c>
      <c r="L44" s="352">
        <f>+ROUND(((I44/30)*E44)*0.01,-3)</f>
        <v>163000</v>
      </c>
      <c r="M44" s="352">
        <f t="shared" si="20"/>
        <v>1361958</v>
      </c>
      <c r="N44" s="352">
        <f>ROUND(+(G44*E44)/720,0)</f>
        <v>625401</v>
      </c>
      <c r="O44" s="352">
        <f>ROUNDUP((+$J44)*'SUPUESTOS GASTOS'!$F$19,-3)</f>
        <v>1802000</v>
      </c>
      <c r="P44" s="352">
        <f>ROUNDUP((+$J44)*'SUPUESTOS GASTOS'!$F$20,-3)</f>
        <v>1276000</v>
      </c>
      <c r="Q44" s="352">
        <f>ROUNDUP((+$J44)*'SUPUESTOS GASTOS'!$F$22,-3)</f>
        <v>79000</v>
      </c>
      <c r="R44" s="352">
        <f>ROUND((J44*4%)+(N44*4%),-3)</f>
        <v>625000</v>
      </c>
      <c r="S44" s="352">
        <f>ROUND((J44*2%)+(N44*2%),0-3)</f>
        <v>313000</v>
      </c>
      <c r="T44" s="352">
        <f>ROUND((J44*3%)+(N44*3%),-3)</f>
        <v>469000</v>
      </c>
      <c r="U44" s="352">
        <f>ROUND(SUM(J44:T44)+((H44/30)*E44),0)</f>
        <v>24419810</v>
      </c>
      <c r="V44" s="352">
        <f>+U73</f>
        <v>1500000</v>
      </c>
      <c r="W44" s="431">
        <f>+U44+V44</f>
        <v>25919810</v>
      </c>
      <c r="Y44" s="531">
        <v>0.00522</v>
      </c>
    </row>
    <row r="45" spans="1:25" ht="15.75" thickBot="1">
      <c r="A45" s="337">
        <v>25</v>
      </c>
      <c r="B45" s="383" t="s">
        <v>134</v>
      </c>
      <c r="C45" s="351">
        <v>44562</v>
      </c>
      <c r="D45" s="351">
        <v>44925</v>
      </c>
      <c r="E45" s="384">
        <f t="shared" si="19"/>
        <v>360</v>
      </c>
      <c r="F45" s="352">
        <v>908526</v>
      </c>
      <c r="G45" s="352">
        <f>(+F45*'SUPUESTOS GASTOS'!$F$6)+'NOMINA 2022 PLANTA'!F45</f>
        <v>953952.3</v>
      </c>
      <c r="H45" s="352">
        <v>0</v>
      </c>
      <c r="I45" s="352">
        <f>SUM(G45:H45)</f>
        <v>953952.3</v>
      </c>
      <c r="J45" s="352">
        <f>ROUND(+((G45/'SUPUESTOS GASTOS'!$F$12)*E45),0)</f>
        <v>11447428</v>
      </c>
      <c r="K45" s="352">
        <v>0</v>
      </c>
      <c r="L45" s="352">
        <v>0</v>
      </c>
      <c r="M45" s="352">
        <f t="shared" si="20"/>
        <v>0</v>
      </c>
      <c r="N45" s="352">
        <v>0</v>
      </c>
      <c r="O45" s="352">
        <v>0</v>
      </c>
      <c r="P45" s="352">
        <f>ROUNDUP((+$J45)*12.5%,-3)</f>
        <v>1431000</v>
      </c>
      <c r="Q45" s="352">
        <f>ROUNDUP((+$J45)*'SUPUESTOS GASTOS'!$F$22,-3)</f>
        <v>60000</v>
      </c>
      <c r="R45" s="352">
        <v>0</v>
      </c>
      <c r="S45" s="352">
        <v>0</v>
      </c>
      <c r="T45" s="352">
        <v>0</v>
      </c>
      <c r="U45" s="352">
        <f>SUM(J45:T45)+((H45/30)*E45)</f>
        <v>12938428</v>
      </c>
      <c r="V45" s="352">
        <v>0</v>
      </c>
      <c r="W45" s="555">
        <f>+U45+V45</f>
        <v>12938428</v>
      </c>
      <c r="Y45" s="532">
        <v>0.00522</v>
      </c>
    </row>
    <row r="46" spans="1:25" ht="15">
      <c r="A46" s="337">
        <v>26</v>
      </c>
      <c r="B46" s="549" t="s">
        <v>361</v>
      </c>
      <c r="C46" s="550">
        <v>44564</v>
      </c>
      <c r="D46" s="550">
        <v>44925</v>
      </c>
      <c r="E46" s="551">
        <f t="shared" si="19"/>
        <v>358</v>
      </c>
      <c r="F46" s="552">
        <v>2831903</v>
      </c>
      <c r="G46" s="552">
        <f>+F46*(1+'SUPUESTOS GASTOS'!$F$6)</f>
        <v>2973498.15</v>
      </c>
      <c r="H46" s="552">
        <f>+'SUPUESTOS GASTOS'!F15</f>
        <v>0</v>
      </c>
      <c r="I46" s="552">
        <f>+G46+H46</f>
        <v>2973498.15</v>
      </c>
      <c r="J46" s="552">
        <f>ROUND(+((G46/'SUPUESTOS GASTOS'!$F$12)*E46),0)</f>
        <v>35483745</v>
      </c>
      <c r="K46" s="552">
        <f>ROUND(+((I46*E46)/'SUPUESTOS GASTOS'!$F$10),0)</f>
        <v>2956979</v>
      </c>
      <c r="L46" s="552">
        <f>+ROUND(((I46/30)*E46)*0.01,-3)</f>
        <v>355000</v>
      </c>
      <c r="M46" s="552">
        <f t="shared" si="20"/>
        <v>2956979</v>
      </c>
      <c r="N46" s="552">
        <f>ROUND(+(G46*E46)/720,0)</f>
        <v>1478489</v>
      </c>
      <c r="O46" s="552">
        <f>ROUNDUP((+$J46)*'SUPUESTOS GASTOS'!$F$19,-3)</f>
        <v>4259000</v>
      </c>
      <c r="P46" s="552">
        <f>ROUNDUP((+$J46)*'SUPUESTOS GASTOS'!$F$20,-3)</f>
        <v>3017000</v>
      </c>
      <c r="Q46" s="553">
        <f>ROUNDUP((+$J46)*'SUPUESTOS GASTOS'!$F$24,-3)</f>
        <v>1544000</v>
      </c>
      <c r="R46" s="552">
        <f>ROUND((J46*4%)+(N46*4%),-3)</f>
        <v>1478000</v>
      </c>
      <c r="S46" s="552">
        <f>ROUND((J46*2%)+(N46*2%),0-3)</f>
        <v>739000</v>
      </c>
      <c r="T46" s="552">
        <f>ROUND((J46*3%)+(N46*3%),-3)</f>
        <v>1109000</v>
      </c>
      <c r="U46" s="552">
        <f>SUM(J46:T46)</f>
        <v>55377192</v>
      </c>
      <c r="V46" s="552"/>
      <c r="W46" s="554">
        <f>+V46+U46</f>
        <v>55377192</v>
      </c>
      <c r="Y46" s="531">
        <v>0.0435</v>
      </c>
    </row>
    <row r="47" spans="1:25" ht="15">
      <c r="A47" s="337">
        <v>27</v>
      </c>
      <c r="B47" s="383" t="s">
        <v>362</v>
      </c>
      <c r="C47" s="351">
        <v>44564</v>
      </c>
      <c r="D47" s="351">
        <v>44925</v>
      </c>
      <c r="E47" s="384">
        <f t="shared" si="19"/>
        <v>358</v>
      </c>
      <c r="F47" s="352">
        <v>2831903</v>
      </c>
      <c r="G47" s="352">
        <f>+F47*(1+'SUPUESTOS GASTOS'!$F$6)</f>
        <v>2973498.15</v>
      </c>
      <c r="H47" s="352">
        <f>+'SUPUESTOS GASTOS'!F16</f>
        <v>0</v>
      </c>
      <c r="I47" s="352">
        <f>+G47+H47</f>
        <v>2973498.15</v>
      </c>
      <c r="J47" s="352">
        <f>ROUND(+((G47/'SUPUESTOS GASTOS'!$F$12)*E47),0)</f>
        <v>35483745</v>
      </c>
      <c r="K47" s="352">
        <f>ROUND(+((I47*E47)/'SUPUESTOS GASTOS'!$F$10),0)</f>
        <v>2956979</v>
      </c>
      <c r="L47" s="352">
        <f>+ROUND(((I47/30)*E47)*0.01,-3)</f>
        <v>355000</v>
      </c>
      <c r="M47" s="352">
        <f t="shared" si="20"/>
        <v>2956979</v>
      </c>
      <c r="N47" s="352">
        <f>ROUND(+(G47*E47)/720,0)</f>
        <v>1478489</v>
      </c>
      <c r="O47" s="352">
        <f>ROUNDUP((+$J47)*'SUPUESTOS GASTOS'!$F$19,-3)</f>
        <v>4259000</v>
      </c>
      <c r="P47" s="352">
        <f>ROUNDUP((+$J47)*'SUPUESTOS GASTOS'!$F$20,-3)</f>
        <v>3017000</v>
      </c>
      <c r="Q47" s="373">
        <f>ROUNDUP((+$J47)*'SUPUESTOS GASTOS'!$F$24,-3)</f>
        <v>1544000</v>
      </c>
      <c r="R47" s="352">
        <f>ROUND((J47*4%)+(N47*4%),-3)</f>
        <v>1478000</v>
      </c>
      <c r="S47" s="352">
        <f>ROUND((J47*2%)+(N47*2%),0-3)</f>
        <v>739000</v>
      </c>
      <c r="T47" s="352">
        <f>ROUND((J47*3%)+(N47*3%),-3)</f>
        <v>1109000</v>
      </c>
      <c r="U47" s="352">
        <f>SUM(J47:T47)</f>
        <v>55377192</v>
      </c>
      <c r="V47" s="352"/>
      <c r="W47" s="431">
        <f>+V47+U47</f>
        <v>55377192</v>
      </c>
      <c r="Y47" s="531">
        <v>0.0435</v>
      </c>
    </row>
    <row r="48" spans="1:25" ht="15">
      <c r="A48" s="337">
        <v>28</v>
      </c>
      <c r="B48" s="383" t="s">
        <v>363</v>
      </c>
      <c r="C48" s="351">
        <v>44564</v>
      </c>
      <c r="D48" s="351">
        <v>44925</v>
      </c>
      <c r="E48" s="384">
        <f t="shared" si="19"/>
        <v>358</v>
      </c>
      <c r="F48" s="352">
        <v>2831903</v>
      </c>
      <c r="G48" s="352">
        <f>+F48*(1+'SUPUESTOS GASTOS'!$F$6)</f>
        <v>2973498.15</v>
      </c>
      <c r="H48" s="352">
        <f>+'SUPUESTOS GASTOS'!F17</f>
        <v>0</v>
      </c>
      <c r="I48" s="352">
        <f>+G48+H48</f>
        <v>2973498.15</v>
      </c>
      <c r="J48" s="352">
        <f>ROUND(+((G48/'SUPUESTOS GASTOS'!$F$12)*E48),0)</f>
        <v>35483745</v>
      </c>
      <c r="K48" s="352">
        <f>ROUND(+((I48*E48)/'SUPUESTOS GASTOS'!$F$10),0)</f>
        <v>2956979</v>
      </c>
      <c r="L48" s="352">
        <f>+ROUND(((I48/30)*E48)*0.01,-3)</f>
        <v>355000</v>
      </c>
      <c r="M48" s="352">
        <f t="shared" si="20"/>
        <v>2956979</v>
      </c>
      <c r="N48" s="352">
        <f>ROUND(+(G48*E48)/720,0)</f>
        <v>1478489</v>
      </c>
      <c r="O48" s="352">
        <f>ROUNDUP((+$J48)*'SUPUESTOS GASTOS'!$F$19,-3)</f>
        <v>4259000</v>
      </c>
      <c r="P48" s="352">
        <f>ROUNDUP((+$J48)*'SUPUESTOS GASTOS'!$F$20,-3)</f>
        <v>3017000</v>
      </c>
      <c r="Q48" s="373">
        <f>ROUNDUP((+$J48)*'SUPUESTOS GASTOS'!$F$24,-3)</f>
        <v>1544000</v>
      </c>
      <c r="R48" s="352">
        <f>ROUND((J48*4%)+(N48*4%),-3)</f>
        <v>1478000</v>
      </c>
      <c r="S48" s="352">
        <f>ROUND((J48*2%)+(N48*2%),0-3)</f>
        <v>739000</v>
      </c>
      <c r="T48" s="352">
        <f>ROUND((J48*3%)+(N48*3%),-3)</f>
        <v>1109000</v>
      </c>
      <c r="U48" s="352">
        <f>SUM(J48:T48)</f>
        <v>55377192</v>
      </c>
      <c r="V48" s="352"/>
      <c r="W48" s="431">
        <f>+V48+U48</f>
        <v>55377192</v>
      </c>
      <c r="Y48" s="531">
        <v>0.0435</v>
      </c>
    </row>
    <row r="49" spans="1:25" ht="15">
      <c r="A49" s="337">
        <v>29</v>
      </c>
      <c r="B49" s="383" t="s">
        <v>126</v>
      </c>
      <c r="C49" s="351">
        <v>44572</v>
      </c>
      <c r="D49" s="351">
        <v>44918</v>
      </c>
      <c r="E49" s="384">
        <f t="shared" si="19"/>
        <v>343</v>
      </c>
      <c r="F49" s="352">
        <v>2265522</v>
      </c>
      <c r="G49" s="352">
        <f>+F49*(1+'SUPUESTOS GASTOS'!$F$6)</f>
        <v>2378798.1</v>
      </c>
      <c r="H49" s="352"/>
      <c r="I49" s="352">
        <f>SUM(G49:H49)</f>
        <v>2378798.1</v>
      </c>
      <c r="J49" s="352">
        <f>ROUND(+((G49/'SUPUESTOS GASTOS'!$F$12)*E49),0)</f>
        <v>27197592</v>
      </c>
      <c r="K49" s="352">
        <f>ROUND(+((I49*E49)/'SUPUESTOS GASTOS'!$F$10),0)</f>
        <v>2266466</v>
      </c>
      <c r="L49" s="352">
        <f>+ROUND(((I49/30)*E49)*0.01,-3)</f>
        <v>272000</v>
      </c>
      <c r="M49" s="352">
        <f t="shared" si="20"/>
        <v>2266466</v>
      </c>
      <c r="N49" s="352">
        <f>ROUND(+(G49*E49)/720,0)</f>
        <v>1133233</v>
      </c>
      <c r="O49" s="352">
        <f>ROUNDUP((+$J49)*'SUPUESTOS GASTOS'!$F$19,-3)</f>
        <v>3264000</v>
      </c>
      <c r="P49" s="352">
        <f>ROUNDUP((+$J49)*'SUPUESTOS GASTOS'!$F$20,-3)</f>
        <v>2312000</v>
      </c>
      <c r="Q49" s="373">
        <f>ROUNDUP((+$J49)*'SUPUESTOS GASTOS'!$F$24,-3)</f>
        <v>1184000</v>
      </c>
      <c r="R49" s="352">
        <f>ROUND((J49*4%)+(N49*4%),-3)</f>
        <v>1133000</v>
      </c>
      <c r="S49" s="352">
        <f>ROUND((J49*2%)+(N49*2%),0-3)</f>
        <v>567000</v>
      </c>
      <c r="T49" s="352">
        <f>ROUND((J49*3%)+(N49*3%),-3)</f>
        <v>850000</v>
      </c>
      <c r="U49" s="352">
        <f>SUM(J49:T49)</f>
        <v>42445757</v>
      </c>
      <c r="V49" s="352"/>
      <c r="W49" s="431">
        <f>+V49+U49</f>
        <v>42445757</v>
      </c>
      <c r="Y49" s="531">
        <v>0.0435</v>
      </c>
    </row>
    <row r="50" spans="1:25" ht="15">
      <c r="A50" s="337">
        <v>30</v>
      </c>
      <c r="B50" s="383" t="s">
        <v>229</v>
      </c>
      <c r="C50" s="351">
        <v>44572</v>
      </c>
      <c r="D50" s="351">
        <v>44918</v>
      </c>
      <c r="E50" s="384">
        <f t="shared" si="19"/>
        <v>343</v>
      </c>
      <c r="F50" s="352">
        <v>2265522</v>
      </c>
      <c r="G50" s="352">
        <f>+F50*(1+'SUPUESTOS GASTOS'!$F$6)</f>
        <v>2378798.1</v>
      </c>
      <c r="H50" s="352"/>
      <c r="I50" s="352">
        <f aca="true" t="shared" si="21" ref="I50:I70">SUM(G50:H50)</f>
        <v>2378798.1</v>
      </c>
      <c r="J50" s="352">
        <f>ROUND(+((G50/'SUPUESTOS GASTOS'!$F$12)*E50),0)</f>
        <v>27197592</v>
      </c>
      <c r="K50" s="352">
        <f>ROUND(+((I50*E50)/'SUPUESTOS GASTOS'!$F$10),0)</f>
        <v>2266466</v>
      </c>
      <c r="L50" s="352">
        <f aca="true" t="shared" si="22" ref="L50:L70">+ROUND(((I50/30)*E50)*0.01,-3)</f>
        <v>272000</v>
      </c>
      <c r="M50" s="352">
        <f aca="true" t="shared" si="23" ref="M50:M70">+K50</f>
        <v>2266466</v>
      </c>
      <c r="N50" s="352">
        <f aca="true" t="shared" si="24" ref="N50:N70">ROUND(+(G50*E50)/720,0)</f>
        <v>1133233</v>
      </c>
      <c r="O50" s="352">
        <f>ROUNDUP((+$J50)*'SUPUESTOS GASTOS'!$F$19,-3)</f>
        <v>3264000</v>
      </c>
      <c r="P50" s="352">
        <f>ROUNDUP((+$J50)*'SUPUESTOS GASTOS'!$F$20,-3)</f>
        <v>2312000</v>
      </c>
      <c r="Q50" s="373">
        <f>ROUNDUP((+$J50)*'SUPUESTOS GASTOS'!$F$24,-3)</f>
        <v>1184000</v>
      </c>
      <c r="R50" s="352">
        <f aca="true" t="shared" si="25" ref="R50:R70">ROUND((J50*4%)+(N50*4%),-3)</f>
        <v>1133000</v>
      </c>
      <c r="S50" s="352">
        <f aca="true" t="shared" si="26" ref="S50:S70">ROUND((J50*2%)+(N50*2%),0-3)</f>
        <v>567000</v>
      </c>
      <c r="T50" s="352">
        <f aca="true" t="shared" si="27" ref="T50:T70">ROUND((J50*3%)+(N50*3%),-3)</f>
        <v>850000</v>
      </c>
      <c r="U50" s="352">
        <f aca="true" t="shared" si="28" ref="U50:U70">SUM(J50:T50)</f>
        <v>42445757</v>
      </c>
      <c r="V50" s="352"/>
      <c r="W50" s="431">
        <f aca="true" t="shared" si="29" ref="W50:W70">+V50+U50</f>
        <v>42445757</v>
      </c>
      <c r="Y50" s="531">
        <v>0.0435</v>
      </c>
    </row>
    <row r="51" spans="1:25" ht="15">
      <c r="A51" s="337">
        <v>31</v>
      </c>
      <c r="B51" s="383" t="s">
        <v>230</v>
      </c>
      <c r="C51" s="351">
        <v>44572</v>
      </c>
      <c r="D51" s="351">
        <v>44918</v>
      </c>
      <c r="E51" s="384">
        <f aca="true" t="shared" si="30" ref="E51:E70">DAYS360(C51,D51)+1</f>
        <v>343</v>
      </c>
      <c r="F51" s="352">
        <v>2265522</v>
      </c>
      <c r="G51" s="352">
        <f>+F51*(1+'SUPUESTOS GASTOS'!$F$6)</f>
        <v>2378798.1</v>
      </c>
      <c r="H51" s="352"/>
      <c r="I51" s="352">
        <f t="shared" si="21"/>
        <v>2378798.1</v>
      </c>
      <c r="J51" s="352">
        <f>ROUND(+((G51/'SUPUESTOS GASTOS'!$F$12)*E51),0)</f>
        <v>27197592</v>
      </c>
      <c r="K51" s="352">
        <f>ROUND(+((I51*E51)/'SUPUESTOS GASTOS'!$F$10),0)</f>
        <v>2266466</v>
      </c>
      <c r="L51" s="352">
        <f t="shared" si="22"/>
        <v>272000</v>
      </c>
      <c r="M51" s="352">
        <f t="shared" si="23"/>
        <v>2266466</v>
      </c>
      <c r="N51" s="352">
        <f t="shared" si="24"/>
        <v>1133233</v>
      </c>
      <c r="O51" s="352">
        <f>ROUNDUP((+$J51)*'SUPUESTOS GASTOS'!$F$19,-3)</f>
        <v>3264000</v>
      </c>
      <c r="P51" s="352">
        <f>ROUNDUP((+$J51)*'SUPUESTOS GASTOS'!$F$20,-3)</f>
        <v>2312000</v>
      </c>
      <c r="Q51" s="373">
        <f>ROUNDUP((+$J51)*'SUPUESTOS GASTOS'!$F$24,-3)</f>
        <v>1184000</v>
      </c>
      <c r="R51" s="352">
        <f t="shared" si="25"/>
        <v>1133000</v>
      </c>
      <c r="S51" s="352">
        <f t="shared" si="26"/>
        <v>567000</v>
      </c>
      <c r="T51" s="352">
        <f t="shared" si="27"/>
        <v>850000</v>
      </c>
      <c r="U51" s="352">
        <f t="shared" si="28"/>
        <v>42445757</v>
      </c>
      <c r="V51" s="352"/>
      <c r="W51" s="431">
        <f t="shared" si="29"/>
        <v>42445757</v>
      </c>
      <c r="Y51" s="531">
        <v>0.0435</v>
      </c>
    </row>
    <row r="52" spans="1:25" ht="15">
      <c r="A52" s="337">
        <v>32</v>
      </c>
      <c r="B52" s="383" t="s">
        <v>231</v>
      </c>
      <c r="C52" s="351">
        <v>44572</v>
      </c>
      <c r="D52" s="351">
        <v>44918</v>
      </c>
      <c r="E52" s="384">
        <f t="shared" si="30"/>
        <v>343</v>
      </c>
      <c r="F52" s="352">
        <v>2265522</v>
      </c>
      <c r="G52" s="352">
        <f>+F52*(1+'SUPUESTOS GASTOS'!$F$6)</f>
        <v>2378798.1</v>
      </c>
      <c r="H52" s="352"/>
      <c r="I52" s="352">
        <f t="shared" si="21"/>
        <v>2378798.1</v>
      </c>
      <c r="J52" s="352">
        <f>ROUND(+((G52/'SUPUESTOS GASTOS'!$F$12)*E52),0)</f>
        <v>27197592</v>
      </c>
      <c r="K52" s="352">
        <f>ROUND(+((I52*E52)/'SUPUESTOS GASTOS'!$F$10),0)</f>
        <v>2266466</v>
      </c>
      <c r="L52" s="352">
        <f t="shared" si="22"/>
        <v>272000</v>
      </c>
      <c r="M52" s="352">
        <f t="shared" si="23"/>
        <v>2266466</v>
      </c>
      <c r="N52" s="352">
        <f t="shared" si="24"/>
        <v>1133233</v>
      </c>
      <c r="O52" s="352">
        <f>ROUNDUP((+$J52)*'SUPUESTOS GASTOS'!$F$19,-3)</f>
        <v>3264000</v>
      </c>
      <c r="P52" s="352">
        <f>ROUNDUP((+$J52)*'SUPUESTOS GASTOS'!$F$20,-3)</f>
        <v>2312000</v>
      </c>
      <c r="Q52" s="373">
        <f>ROUNDUP((+$J52)*'SUPUESTOS GASTOS'!$F$24,-3)</f>
        <v>1184000</v>
      </c>
      <c r="R52" s="352">
        <f t="shared" si="25"/>
        <v>1133000</v>
      </c>
      <c r="S52" s="352">
        <f t="shared" si="26"/>
        <v>567000</v>
      </c>
      <c r="T52" s="352">
        <f t="shared" si="27"/>
        <v>850000</v>
      </c>
      <c r="U52" s="352">
        <f t="shared" si="28"/>
        <v>42445757</v>
      </c>
      <c r="V52" s="352"/>
      <c r="W52" s="431">
        <f t="shared" si="29"/>
        <v>42445757</v>
      </c>
      <c r="Y52" s="531">
        <v>0.0435</v>
      </c>
    </row>
    <row r="53" spans="1:25" ht="15">
      <c r="A53" s="337">
        <v>33</v>
      </c>
      <c r="B53" s="383" t="s">
        <v>232</v>
      </c>
      <c r="C53" s="351">
        <v>44572</v>
      </c>
      <c r="D53" s="351">
        <v>44918</v>
      </c>
      <c r="E53" s="384">
        <f t="shared" si="30"/>
        <v>343</v>
      </c>
      <c r="F53" s="352">
        <v>2265522</v>
      </c>
      <c r="G53" s="352">
        <f>+F53*(1+'SUPUESTOS GASTOS'!$F$6)</f>
        <v>2378798.1</v>
      </c>
      <c r="H53" s="352"/>
      <c r="I53" s="352">
        <f t="shared" si="21"/>
        <v>2378798.1</v>
      </c>
      <c r="J53" s="352">
        <f>ROUND(+((G53/'SUPUESTOS GASTOS'!$F$12)*E53),0)</f>
        <v>27197592</v>
      </c>
      <c r="K53" s="352">
        <f>ROUND(+((I53*E53)/'SUPUESTOS GASTOS'!$F$10),0)</f>
        <v>2266466</v>
      </c>
      <c r="L53" s="352">
        <f t="shared" si="22"/>
        <v>272000</v>
      </c>
      <c r="M53" s="352">
        <f t="shared" si="23"/>
        <v>2266466</v>
      </c>
      <c r="N53" s="352">
        <f t="shared" si="24"/>
        <v>1133233</v>
      </c>
      <c r="O53" s="352">
        <f>ROUNDUP((+$J53)*'SUPUESTOS GASTOS'!$F$19,-3)</f>
        <v>3264000</v>
      </c>
      <c r="P53" s="352">
        <f>ROUNDUP((+$J53)*'SUPUESTOS GASTOS'!$F$20,-3)</f>
        <v>2312000</v>
      </c>
      <c r="Q53" s="373">
        <f>ROUNDUP((+$J53)*'SUPUESTOS GASTOS'!$F$24,-3)</f>
        <v>1184000</v>
      </c>
      <c r="R53" s="352">
        <f t="shared" si="25"/>
        <v>1133000</v>
      </c>
      <c r="S53" s="352">
        <f t="shared" si="26"/>
        <v>567000</v>
      </c>
      <c r="T53" s="352">
        <f t="shared" si="27"/>
        <v>850000</v>
      </c>
      <c r="U53" s="352">
        <f t="shared" si="28"/>
        <v>42445757</v>
      </c>
      <c r="V53" s="352"/>
      <c r="W53" s="431">
        <f t="shared" si="29"/>
        <v>42445757</v>
      </c>
      <c r="Y53" s="531">
        <v>0.0435</v>
      </c>
    </row>
    <row r="54" spans="1:25" ht="15">
      <c r="A54" s="337">
        <v>34</v>
      </c>
      <c r="B54" s="383" t="s">
        <v>233</v>
      </c>
      <c r="C54" s="351">
        <v>44572</v>
      </c>
      <c r="D54" s="351">
        <v>44918</v>
      </c>
      <c r="E54" s="384">
        <f t="shared" si="30"/>
        <v>343</v>
      </c>
      <c r="F54" s="352">
        <v>2265522</v>
      </c>
      <c r="G54" s="352">
        <f>+F54*(1+'SUPUESTOS GASTOS'!$F$6)</f>
        <v>2378798.1</v>
      </c>
      <c r="H54" s="352"/>
      <c r="I54" s="352">
        <f t="shared" si="21"/>
        <v>2378798.1</v>
      </c>
      <c r="J54" s="352">
        <f>ROUND(+((G54/'SUPUESTOS GASTOS'!$F$12)*E54),0)</f>
        <v>27197592</v>
      </c>
      <c r="K54" s="352">
        <f>ROUND(+((I54*E54)/'SUPUESTOS GASTOS'!$F$10),0)</f>
        <v>2266466</v>
      </c>
      <c r="L54" s="352">
        <f t="shared" si="22"/>
        <v>272000</v>
      </c>
      <c r="M54" s="352">
        <f t="shared" si="23"/>
        <v>2266466</v>
      </c>
      <c r="N54" s="352">
        <f t="shared" si="24"/>
        <v>1133233</v>
      </c>
      <c r="O54" s="352">
        <f>ROUNDUP((+$J54)*'SUPUESTOS GASTOS'!$F$19,-3)</f>
        <v>3264000</v>
      </c>
      <c r="P54" s="352">
        <f>ROUNDUP((+$J54)*'SUPUESTOS GASTOS'!$F$20,-3)</f>
        <v>2312000</v>
      </c>
      <c r="Q54" s="373">
        <f>ROUNDUP((+$J54)*'SUPUESTOS GASTOS'!$F$24,-3)</f>
        <v>1184000</v>
      </c>
      <c r="R54" s="352">
        <f t="shared" si="25"/>
        <v>1133000</v>
      </c>
      <c r="S54" s="352">
        <f t="shared" si="26"/>
        <v>567000</v>
      </c>
      <c r="T54" s="352">
        <f t="shared" si="27"/>
        <v>850000</v>
      </c>
      <c r="U54" s="352">
        <f t="shared" si="28"/>
        <v>42445757</v>
      </c>
      <c r="V54" s="352"/>
      <c r="W54" s="431">
        <f t="shared" si="29"/>
        <v>42445757</v>
      </c>
      <c r="Y54" s="531">
        <v>0.0435</v>
      </c>
    </row>
    <row r="55" spans="1:25" ht="15">
      <c r="A55" s="337">
        <v>35</v>
      </c>
      <c r="B55" s="383" t="s">
        <v>234</v>
      </c>
      <c r="C55" s="351">
        <v>44572</v>
      </c>
      <c r="D55" s="351">
        <v>44918</v>
      </c>
      <c r="E55" s="384">
        <f t="shared" si="30"/>
        <v>343</v>
      </c>
      <c r="F55" s="352">
        <v>2265522</v>
      </c>
      <c r="G55" s="352">
        <f>+F55*(1+'SUPUESTOS GASTOS'!$F$6)</f>
        <v>2378798.1</v>
      </c>
      <c r="H55" s="352"/>
      <c r="I55" s="352">
        <f t="shared" si="21"/>
        <v>2378798.1</v>
      </c>
      <c r="J55" s="352">
        <f>ROUND(+((G55/'SUPUESTOS GASTOS'!$F$12)*E55),0)</f>
        <v>27197592</v>
      </c>
      <c r="K55" s="352">
        <f>ROUND(+((I55*E55)/'SUPUESTOS GASTOS'!$F$10),0)</f>
        <v>2266466</v>
      </c>
      <c r="L55" s="352">
        <f t="shared" si="22"/>
        <v>272000</v>
      </c>
      <c r="M55" s="352">
        <f t="shared" si="23"/>
        <v>2266466</v>
      </c>
      <c r="N55" s="352">
        <f t="shared" si="24"/>
        <v>1133233</v>
      </c>
      <c r="O55" s="352">
        <f>ROUNDUP((+$J55)*'SUPUESTOS GASTOS'!$F$19,-3)</f>
        <v>3264000</v>
      </c>
      <c r="P55" s="352">
        <f>ROUNDUP((+$J55)*'SUPUESTOS GASTOS'!$F$20,-3)</f>
        <v>2312000</v>
      </c>
      <c r="Q55" s="373">
        <f>ROUNDUP((+$J55)*'SUPUESTOS GASTOS'!$F$24,-3)</f>
        <v>1184000</v>
      </c>
      <c r="R55" s="352">
        <f t="shared" si="25"/>
        <v>1133000</v>
      </c>
      <c r="S55" s="352">
        <f t="shared" si="26"/>
        <v>567000</v>
      </c>
      <c r="T55" s="352">
        <f t="shared" si="27"/>
        <v>850000</v>
      </c>
      <c r="U55" s="352">
        <f t="shared" si="28"/>
        <v>42445757</v>
      </c>
      <c r="V55" s="352"/>
      <c r="W55" s="431">
        <f t="shared" si="29"/>
        <v>42445757</v>
      </c>
      <c r="Y55" s="531">
        <v>0.0435</v>
      </c>
    </row>
    <row r="56" spans="1:25" ht="15">
      <c r="A56" s="337">
        <v>36</v>
      </c>
      <c r="B56" s="383" t="s">
        <v>235</v>
      </c>
      <c r="C56" s="351">
        <v>44572</v>
      </c>
      <c r="D56" s="351">
        <v>44918</v>
      </c>
      <c r="E56" s="384">
        <f t="shared" si="30"/>
        <v>343</v>
      </c>
      <c r="F56" s="352">
        <v>2265522</v>
      </c>
      <c r="G56" s="352">
        <f>+F56*(1+'SUPUESTOS GASTOS'!$F$6)</f>
        <v>2378798.1</v>
      </c>
      <c r="H56" s="352"/>
      <c r="I56" s="352">
        <f t="shared" si="21"/>
        <v>2378798.1</v>
      </c>
      <c r="J56" s="352">
        <f>ROUND(+((G56/'SUPUESTOS GASTOS'!$F$12)*E56),0)</f>
        <v>27197592</v>
      </c>
      <c r="K56" s="352">
        <f>ROUND(+((I56*E56)/'SUPUESTOS GASTOS'!$F$10),0)</f>
        <v>2266466</v>
      </c>
      <c r="L56" s="352">
        <f t="shared" si="22"/>
        <v>272000</v>
      </c>
      <c r="M56" s="352">
        <f t="shared" si="23"/>
        <v>2266466</v>
      </c>
      <c r="N56" s="352">
        <f t="shared" si="24"/>
        <v>1133233</v>
      </c>
      <c r="O56" s="352">
        <f>ROUNDUP((+$J56)*'SUPUESTOS GASTOS'!$F$19,-3)</f>
        <v>3264000</v>
      </c>
      <c r="P56" s="352">
        <f>ROUNDUP((+$J56)*'SUPUESTOS GASTOS'!$F$20,-3)</f>
        <v>2312000</v>
      </c>
      <c r="Q56" s="373">
        <f>ROUNDUP((+$J56)*'SUPUESTOS GASTOS'!$F$24,-3)</f>
        <v>1184000</v>
      </c>
      <c r="R56" s="352">
        <f t="shared" si="25"/>
        <v>1133000</v>
      </c>
      <c r="S56" s="352">
        <f t="shared" si="26"/>
        <v>567000</v>
      </c>
      <c r="T56" s="352">
        <f t="shared" si="27"/>
        <v>850000</v>
      </c>
      <c r="U56" s="352">
        <f t="shared" si="28"/>
        <v>42445757</v>
      </c>
      <c r="V56" s="352"/>
      <c r="W56" s="431">
        <f t="shared" si="29"/>
        <v>42445757</v>
      </c>
      <c r="Y56" s="531">
        <v>0.0435</v>
      </c>
    </row>
    <row r="57" spans="1:25" ht="15">
      <c r="A57" s="337">
        <v>37</v>
      </c>
      <c r="B57" s="383" t="s">
        <v>236</v>
      </c>
      <c r="C57" s="351">
        <v>44572</v>
      </c>
      <c r="D57" s="351">
        <v>44918</v>
      </c>
      <c r="E57" s="384">
        <f t="shared" si="30"/>
        <v>343</v>
      </c>
      <c r="F57" s="352">
        <v>2265522</v>
      </c>
      <c r="G57" s="352">
        <f>+F57*(1+'SUPUESTOS GASTOS'!$F$6)</f>
        <v>2378798.1</v>
      </c>
      <c r="H57" s="352"/>
      <c r="I57" s="352">
        <f t="shared" si="21"/>
        <v>2378798.1</v>
      </c>
      <c r="J57" s="352">
        <f>ROUND(+((G57/'SUPUESTOS GASTOS'!$F$12)*E57),0)</f>
        <v>27197592</v>
      </c>
      <c r="K57" s="352">
        <f>ROUND(+((I57*E57)/'SUPUESTOS GASTOS'!$F$10),0)</f>
        <v>2266466</v>
      </c>
      <c r="L57" s="352">
        <f t="shared" si="22"/>
        <v>272000</v>
      </c>
      <c r="M57" s="352">
        <f t="shared" si="23"/>
        <v>2266466</v>
      </c>
      <c r="N57" s="352">
        <f t="shared" si="24"/>
        <v>1133233</v>
      </c>
      <c r="O57" s="352">
        <f>ROUNDUP((+$J57)*'SUPUESTOS GASTOS'!$F$19,-3)</f>
        <v>3264000</v>
      </c>
      <c r="P57" s="352">
        <f>ROUNDUP((+$J57)*'SUPUESTOS GASTOS'!$F$20,-3)</f>
        <v>2312000</v>
      </c>
      <c r="Q57" s="373">
        <f>ROUNDUP((+$J57)*'SUPUESTOS GASTOS'!$F$24,-3)</f>
        <v>1184000</v>
      </c>
      <c r="R57" s="352">
        <f t="shared" si="25"/>
        <v>1133000</v>
      </c>
      <c r="S57" s="352">
        <f t="shared" si="26"/>
        <v>567000</v>
      </c>
      <c r="T57" s="352">
        <f t="shared" si="27"/>
        <v>850000</v>
      </c>
      <c r="U57" s="352">
        <f t="shared" si="28"/>
        <v>42445757</v>
      </c>
      <c r="V57" s="352"/>
      <c r="W57" s="431">
        <f t="shared" si="29"/>
        <v>42445757</v>
      </c>
      <c r="Y57" s="531">
        <v>0.0435</v>
      </c>
    </row>
    <row r="58" spans="1:25" ht="15">
      <c r="A58" s="337">
        <v>38</v>
      </c>
      <c r="B58" s="383" t="s">
        <v>237</v>
      </c>
      <c r="C58" s="351">
        <v>44572</v>
      </c>
      <c r="D58" s="351">
        <v>44918</v>
      </c>
      <c r="E58" s="384">
        <f t="shared" si="30"/>
        <v>343</v>
      </c>
      <c r="F58" s="352">
        <v>2265522</v>
      </c>
      <c r="G58" s="352">
        <f>+F58*(1+'SUPUESTOS GASTOS'!$F$6)</f>
        <v>2378798.1</v>
      </c>
      <c r="H58" s="352"/>
      <c r="I58" s="352">
        <f t="shared" si="21"/>
        <v>2378798.1</v>
      </c>
      <c r="J58" s="352">
        <f>ROUND(+((G58/'SUPUESTOS GASTOS'!$F$12)*E58),0)</f>
        <v>27197592</v>
      </c>
      <c r="K58" s="352">
        <f>ROUND(+((I58*E58)/'SUPUESTOS GASTOS'!$F$10),0)</f>
        <v>2266466</v>
      </c>
      <c r="L58" s="352">
        <f t="shared" si="22"/>
        <v>272000</v>
      </c>
      <c r="M58" s="352">
        <f t="shared" si="23"/>
        <v>2266466</v>
      </c>
      <c r="N58" s="352">
        <f t="shared" si="24"/>
        <v>1133233</v>
      </c>
      <c r="O58" s="352">
        <f>ROUNDUP((+$J58)*'SUPUESTOS GASTOS'!$F$19,-3)</f>
        <v>3264000</v>
      </c>
      <c r="P58" s="352">
        <f>ROUNDUP((+$J58)*'SUPUESTOS GASTOS'!$F$20,-3)</f>
        <v>2312000</v>
      </c>
      <c r="Q58" s="373">
        <f>ROUNDUP((+$J58)*'SUPUESTOS GASTOS'!$F$24,-3)</f>
        <v>1184000</v>
      </c>
      <c r="R58" s="352">
        <f t="shared" si="25"/>
        <v>1133000</v>
      </c>
      <c r="S58" s="352">
        <f t="shared" si="26"/>
        <v>567000</v>
      </c>
      <c r="T58" s="352">
        <f t="shared" si="27"/>
        <v>850000</v>
      </c>
      <c r="U58" s="352">
        <f t="shared" si="28"/>
        <v>42445757</v>
      </c>
      <c r="V58" s="352"/>
      <c r="W58" s="431">
        <f t="shared" si="29"/>
        <v>42445757</v>
      </c>
      <c r="Y58" s="531">
        <v>0.0435</v>
      </c>
    </row>
    <row r="59" spans="1:25" ht="15">
      <c r="A59" s="337">
        <v>39</v>
      </c>
      <c r="B59" s="383" t="s">
        <v>238</v>
      </c>
      <c r="C59" s="351">
        <v>44572</v>
      </c>
      <c r="D59" s="351">
        <v>44918</v>
      </c>
      <c r="E59" s="384">
        <f t="shared" si="30"/>
        <v>343</v>
      </c>
      <c r="F59" s="352">
        <v>2265522</v>
      </c>
      <c r="G59" s="352">
        <f>+F59*(1+'SUPUESTOS GASTOS'!$F$6)</f>
        <v>2378798.1</v>
      </c>
      <c r="H59" s="352"/>
      <c r="I59" s="352">
        <f t="shared" si="21"/>
        <v>2378798.1</v>
      </c>
      <c r="J59" s="352">
        <f>ROUND(+((G59/'SUPUESTOS GASTOS'!$F$12)*E59),0)</f>
        <v>27197592</v>
      </c>
      <c r="K59" s="352">
        <f>ROUND(+((I59*E59)/'SUPUESTOS GASTOS'!$F$10),0)</f>
        <v>2266466</v>
      </c>
      <c r="L59" s="352">
        <f t="shared" si="22"/>
        <v>272000</v>
      </c>
      <c r="M59" s="352">
        <f t="shared" si="23"/>
        <v>2266466</v>
      </c>
      <c r="N59" s="352">
        <f t="shared" si="24"/>
        <v>1133233</v>
      </c>
      <c r="O59" s="352">
        <f>ROUNDUP((+$J59)*'SUPUESTOS GASTOS'!$F$19,-3)</f>
        <v>3264000</v>
      </c>
      <c r="P59" s="352">
        <f>ROUNDUP((+$J59)*'SUPUESTOS GASTOS'!$F$20,-3)</f>
        <v>2312000</v>
      </c>
      <c r="Q59" s="373">
        <f>ROUNDUP((+$J59)*'SUPUESTOS GASTOS'!$F$24,-3)</f>
        <v>1184000</v>
      </c>
      <c r="R59" s="352">
        <f t="shared" si="25"/>
        <v>1133000</v>
      </c>
      <c r="S59" s="352">
        <f t="shared" si="26"/>
        <v>567000</v>
      </c>
      <c r="T59" s="352">
        <f t="shared" si="27"/>
        <v>850000</v>
      </c>
      <c r="U59" s="352">
        <f t="shared" si="28"/>
        <v>42445757</v>
      </c>
      <c r="V59" s="352"/>
      <c r="W59" s="431">
        <f t="shared" si="29"/>
        <v>42445757</v>
      </c>
      <c r="Y59" s="531">
        <v>0.0435</v>
      </c>
    </row>
    <row r="60" spans="1:25" ht="15">
      <c r="A60" s="337">
        <v>40</v>
      </c>
      <c r="B60" s="383" t="s">
        <v>239</v>
      </c>
      <c r="C60" s="351">
        <v>44572</v>
      </c>
      <c r="D60" s="351">
        <v>44918</v>
      </c>
      <c r="E60" s="384">
        <f>DAYS360(C60,D60)+1</f>
        <v>343</v>
      </c>
      <c r="F60" s="352">
        <v>2265522</v>
      </c>
      <c r="G60" s="352">
        <f>+F60*(1+'SUPUESTOS GASTOS'!$F$6)</f>
        <v>2378798.1</v>
      </c>
      <c r="H60" s="352"/>
      <c r="I60" s="352">
        <f>SUM(G60:H60)</f>
        <v>2378798.1</v>
      </c>
      <c r="J60" s="352">
        <f>ROUND(+((G60/'SUPUESTOS GASTOS'!$F$12)*E60),0)</f>
        <v>27197592</v>
      </c>
      <c r="K60" s="352">
        <f>ROUND(+((I60*E60)/'SUPUESTOS GASTOS'!$F$10),0)</f>
        <v>2266466</v>
      </c>
      <c r="L60" s="352">
        <f>+ROUND(((I60/30)*E60)*0.01,-3)</f>
        <v>272000</v>
      </c>
      <c r="M60" s="352">
        <f>+K60</f>
        <v>2266466</v>
      </c>
      <c r="N60" s="352">
        <f>ROUND(+(G60*E60)/720,0)</f>
        <v>1133233</v>
      </c>
      <c r="O60" s="352">
        <f>ROUNDUP((+$J60)*'SUPUESTOS GASTOS'!$F$19,-3)</f>
        <v>3264000</v>
      </c>
      <c r="P60" s="352">
        <f>ROUNDUP((+$J60)*'SUPUESTOS GASTOS'!$F$20,-3)</f>
        <v>2312000</v>
      </c>
      <c r="Q60" s="373">
        <f>ROUNDUP((+$J60)*'SUPUESTOS GASTOS'!$F$24,-3)</f>
        <v>1184000</v>
      </c>
      <c r="R60" s="352">
        <f>ROUND((J60*4%)+(N60*4%),-3)</f>
        <v>1133000</v>
      </c>
      <c r="S60" s="352">
        <f>ROUND((J60*2%)+(N60*2%),0-3)</f>
        <v>567000</v>
      </c>
      <c r="T60" s="352">
        <f>ROUND((J60*3%)+(N60*3%),-3)</f>
        <v>850000</v>
      </c>
      <c r="U60" s="352">
        <f>SUM(J60:T60)</f>
        <v>42445757</v>
      </c>
      <c r="V60" s="352"/>
      <c r="W60" s="431">
        <f>+V60+U60</f>
        <v>42445757</v>
      </c>
      <c r="Y60" s="531">
        <v>0.0435</v>
      </c>
    </row>
    <row r="61" spans="1:25" ht="15">
      <c r="A61" s="337">
        <v>41</v>
      </c>
      <c r="B61" s="383" t="s">
        <v>301</v>
      </c>
      <c r="C61" s="351">
        <v>44572</v>
      </c>
      <c r="D61" s="351">
        <v>44918</v>
      </c>
      <c r="E61" s="384">
        <f aca="true" t="shared" si="31" ref="E61:E69">DAYS360(C61,D61)+1</f>
        <v>343</v>
      </c>
      <c r="F61" s="352">
        <v>2265522</v>
      </c>
      <c r="G61" s="352">
        <f>+F61*(1+'SUPUESTOS GASTOS'!$F$6)</f>
        <v>2378798.1</v>
      </c>
      <c r="H61" s="352"/>
      <c r="I61" s="352">
        <f aca="true" t="shared" si="32" ref="I61:I69">SUM(G61:H61)</f>
        <v>2378798.1</v>
      </c>
      <c r="J61" s="352">
        <f>ROUND(+((G61/'SUPUESTOS GASTOS'!$F$12)*E61),0)</f>
        <v>27197592</v>
      </c>
      <c r="K61" s="352">
        <f>ROUND(+((I61*E61)/'SUPUESTOS GASTOS'!$F$10),0)</f>
        <v>2266466</v>
      </c>
      <c r="L61" s="352">
        <f aca="true" t="shared" si="33" ref="L61:L69">+ROUND(((I61/30)*E61)*0.01,-3)</f>
        <v>272000</v>
      </c>
      <c r="M61" s="352">
        <f aca="true" t="shared" si="34" ref="M61:M69">+K61</f>
        <v>2266466</v>
      </c>
      <c r="N61" s="352">
        <f aca="true" t="shared" si="35" ref="N61:N69">ROUND(+(G61*E61)/720,0)</f>
        <v>1133233</v>
      </c>
      <c r="O61" s="352">
        <f>ROUNDUP((+$J61)*'SUPUESTOS GASTOS'!$F$19,-3)</f>
        <v>3264000</v>
      </c>
      <c r="P61" s="352">
        <f>ROUNDUP((+$J61)*'SUPUESTOS GASTOS'!$F$20,-3)</f>
        <v>2312000</v>
      </c>
      <c r="Q61" s="373">
        <f>ROUNDUP((+$J61)*'SUPUESTOS GASTOS'!$F$24,-3)</f>
        <v>1184000</v>
      </c>
      <c r="R61" s="352">
        <f aca="true" t="shared" si="36" ref="R61:R69">ROUND((J61*4%)+(N61*4%),-3)</f>
        <v>1133000</v>
      </c>
      <c r="S61" s="352">
        <f aca="true" t="shared" si="37" ref="S61:S69">ROUND((J61*2%)+(N61*2%),0-3)</f>
        <v>567000</v>
      </c>
      <c r="T61" s="352">
        <f aca="true" t="shared" si="38" ref="T61:T69">ROUND((J61*3%)+(N61*3%),-3)</f>
        <v>850000</v>
      </c>
      <c r="U61" s="352">
        <f aca="true" t="shared" si="39" ref="U61:U69">SUM(J61:T61)</f>
        <v>42445757</v>
      </c>
      <c r="V61" s="352"/>
      <c r="W61" s="431">
        <f aca="true" t="shared" si="40" ref="W61:W69">+V61+U61</f>
        <v>42445757</v>
      </c>
      <c r="Y61" s="531">
        <v>0.0435</v>
      </c>
    </row>
    <row r="62" spans="1:25" ht="15">
      <c r="A62" s="337">
        <v>42</v>
      </c>
      <c r="B62" s="383" t="s">
        <v>302</v>
      </c>
      <c r="C62" s="351">
        <v>44572</v>
      </c>
      <c r="D62" s="351">
        <v>44918</v>
      </c>
      <c r="E62" s="384">
        <f t="shared" si="31"/>
        <v>343</v>
      </c>
      <c r="F62" s="352">
        <v>2265522</v>
      </c>
      <c r="G62" s="352">
        <f>+F62*(1+'SUPUESTOS GASTOS'!$F$6)</f>
        <v>2378798.1</v>
      </c>
      <c r="H62" s="352"/>
      <c r="I62" s="352">
        <f t="shared" si="32"/>
        <v>2378798.1</v>
      </c>
      <c r="J62" s="352">
        <f>ROUND(+((G62/'SUPUESTOS GASTOS'!$F$12)*E62),0)</f>
        <v>27197592</v>
      </c>
      <c r="K62" s="352">
        <f>ROUND(+((I62*E62)/'SUPUESTOS GASTOS'!$F$10),0)</f>
        <v>2266466</v>
      </c>
      <c r="L62" s="352">
        <f t="shared" si="33"/>
        <v>272000</v>
      </c>
      <c r="M62" s="352">
        <f t="shared" si="34"/>
        <v>2266466</v>
      </c>
      <c r="N62" s="352">
        <f t="shared" si="35"/>
        <v>1133233</v>
      </c>
      <c r="O62" s="352">
        <f>ROUNDUP((+$J62)*'SUPUESTOS GASTOS'!$F$19,-3)</f>
        <v>3264000</v>
      </c>
      <c r="P62" s="352">
        <f>ROUNDUP((+$J62)*'SUPUESTOS GASTOS'!$F$20,-3)</f>
        <v>2312000</v>
      </c>
      <c r="Q62" s="373">
        <f>ROUNDUP((+$J62)*'SUPUESTOS GASTOS'!$F$24,-3)</f>
        <v>1184000</v>
      </c>
      <c r="R62" s="352">
        <f t="shared" si="36"/>
        <v>1133000</v>
      </c>
      <c r="S62" s="352">
        <f t="shared" si="37"/>
        <v>567000</v>
      </c>
      <c r="T62" s="352">
        <f t="shared" si="38"/>
        <v>850000</v>
      </c>
      <c r="U62" s="352">
        <f t="shared" si="39"/>
        <v>42445757</v>
      </c>
      <c r="V62" s="352"/>
      <c r="W62" s="431">
        <f t="shared" si="40"/>
        <v>42445757</v>
      </c>
      <c r="Y62" s="531">
        <v>0.0435</v>
      </c>
    </row>
    <row r="63" spans="1:25" ht="15">
      <c r="A63" s="337">
        <v>43</v>
      </c>
      <c r="B63" s="383" t="s">
        <v>303</v>
      </c>
      <c r="C63" s="351">
        <v>44572</v>
      </c>
      <c r="D63" s="351">
        <v>44918</v>
      </c>
      <c r="E63" s="384">
        <f t="shared" si="31"/>
        <v>343</v>
      </c>
      <c r="F63" s="352">
        <v>2265522</v>
      </c>
      <c r="G63" s="352">
        <f>+F63*(1+'SUPUESTOS GASTOS'!$F$6)</f>
        <v>2378798.1</v>
      </c>
      <c r="H63" s="352"/>
      <c r="I63" s="352">
        <f t="shared" si="32"/>
        <v>2378798.1</v>
      </c>
      <c r="J63" s="352">
        <f>ROUND(+((G63/'SUPUESTOS GASTOS'!$F$12)*E63),0)</f>
        <v>27197592</v>
      </c>
      <c r="K63" s="352">
        <f>ROUND(+((I63*E63)/'SUPUESTOS GASTOS'!$F$10),0)</f>
        <v>2266466</v>
      </c>
      <c r="L63" s="352">
        <f t="shared" si="33"/>
        <v>272000</v>
      </c>
      <c r="M63" s="352">
        <f t="shared" si="34"/>
        <v>2266466</v>
      </c>
      <c r="N63" s="352">
        <f t="shared" si="35"/>
        <v>1133233</v>
      </c>
      <c r="O63" s="352">
        <f>ROUNDUP((+$J63)*'SUPUESTOS GASTOS'!$F$19,-3)</f>
        <v>3264000</v>
      </c>
      <c r="P63" s="352">
        <f>ROUNDUP((+$J63)*'SUPUESTOS GASTOS'!$F$20,-3)</f>
        <v>2312000</v>
      </c>
      <c r="Q63" s="373">
        <f>ROUNDUP((+$J63)*'SUPUESTOS GASTOS'!$F$24,-3)</f>
        <v>1184000</v>
      </c>
      <c r="R63" s="352">
        <f t="shared" si="36"/>
        <v>1133000</v>
      </c>
      <c r="S63" s="352">
        <f t="shared" si="37"/>
        <v>567000</v>
      </c>
      <c r="T63" s="352">
        <f t="shared" si="38"/>
        <v>850000</v>
      </c>
      <c r="U63" s="352">
        <f t="shared" si="39"/>
        <v>42445757</v>
      </c>
      <c r="V63" s="352"/>
      <c r="W63" s="431">
        <f t="shared" si="40"/>
        <v>42445757</v>
      </c>
      <c r="Y63" s="531">
        <v>0.0435</v>
      </c>
    </row>
    <row r="64" spans="1:25" ht="15">
      <c r="A64" s="337">
        <v>44</v>
      </c>
      <c r="B64" s="383" t="s">
        <v>304</v>
      </c>
      <c r="C64" s="351">
        <v>44572</v>
      </c>
      <c r="D64" s="351">
        <v>44918</v>
      </c>
      <c r="E64" s="384">
        <f t="shared" si="31"/>
        <v>343</v>
      </c>
      <c r="F64" s="352">
        <v>2265522</v>
      </c>
      <c r="G64" s="352">
        <f>+F64*(1+'SUPUESTOS GASTOS'!$F$6)</f>
        <v>2378798.1</v>
      </c>
      <c r="H64" s="352"/>
      <c r="I64" s="352">
        <f t="shared" si="32"/>
        <v>2378798.1</v>
      </c>
      <c r="J64" s="352">
        <f>ROUND(+((G64/'SUPUESTOS GASTOS'!$F$12)*E64),0)</f>
        <v>27197592</v>
      </c>
      <c r="K64" s="352">
        <f>ROUND(+((I64*E64)/'SUPUESTOS GASTOS'!$F$10),0)</f>
        <v>2266466</v>
      </c>
      <c r="L64" s="352">
        <f t="shared" si="33"/>
        <v>272000</v>
      </c>
      <c r="M64" s="352">
        <f t="shared" si="34"/>
        <v>2266466</v>
      </c>
      <c r="N64" s="352">
        <f t="shared" si="35"/>
        <v>1133233</v>
      </c>
      <c r="O64" s="352">
        <f>ROUNDUP((+$J64)*'SUPUESTOS GASTOS'!$F$19,-3)</f>
        <v>3264000</v>
      </c>
      <c r="P64" s="352">
        <f>ROUNDUP((+$J64)*'SUPUESTOS GASTOS'!$F$20,-3)</f>
        <v>2312000</v>
      </c>
      <c r="Q64" s="373">
        <f>ROUNDUP((+$J64)*'SUPUESTOS GASTOS'!$F$24,-3)</f>
        <v>1184000</v>
      </c>
      <c r="R64" s="352">
        <f t="shared" si="36"/>
        <v>1133000</v>
      </c>
      <c r="S64" s="352">
        <f t="shared" si="37"/>
        <v>567000</v>
      </c>
      <c r="T64" s="352">
        <f t="shared" si="38"/>
        <v>850000</v>
      </c>
      <c r="U64" s="352">
        <f t="shared" si="39"/>
        <v>42445757</v>
      </c>
      <c r="V64" s="352"/>
      <c r="W64" s="431">
        <f t="shared" si="40"/>
        <v>42445757</v>
      </c>
      <c r="Y64" s="531">
        <v>0.0435</v>
      </c>
    </row>
    <row r="65" spans="1:25" ht="15">
      <c r="A65" s="337">
        <v>45</v>
      </c>
      <c r="B65" s="383" t="s">
        <v>305</v>
      </c>
      <c r="C65" s="351">
        <v>44572</v>
      </c>
      <c r="D65" s="351">
        <v>44918</v>
      </c>
      <c r="E65" s="384">
        <f t="shared" si="31"/>
        <v>343</v>
      </c>
      <c r="F65" s="352">
        <v>2265522</v>
      </c>
      <c r="G65" s="352">
        <f>+F65*(1+'SUPUESTOS GASTOS'!$F$6)</f>
        <v>2378798.1</v>
      </c>
      <c r="H65" s="352"/>
      <c r="I65" s="352">
        <f t="shared" si="32"/>
        <v>2378798.1</v>
      </c>
      <c r="J65" s="352">
        <f>ROUND(+((G65/'SUPUESTOS GASTOS'!$F$12)*E65),0)</f>
        <v>27197592</v>
      </c>
      <c r="K65" s="352">
        <f>ROUND(+((I65*E65)/'SUPUESTOS GASTOS'!$F$10),0)</f>
        <v>2266466</v>
      </c>
      <c r="L65" s="352">
        <f t="shared" si="33"/>
        <v>272000</v>
      </c>
      <c r="M65" s="352">
        <f t="shared" si="34"/>
        <v>2266466</v>
      </c>
      <c r="N65" s="352">
        <f t="shared" si="35"/>
        <v>1133233</v>
      </c>
      <c r="O65" s="352">
        <f>ROUNDUP((+$J65)*'SUPUESTOS GASTOS'!$F$19,-3)</f>
        <v>3264000</v>
      </c>
      <c r="P65" s="352">
        <f>ROUNDUP((+$J65)*'SUPUESTOS GASTOS'!$F$20,-3)</f>
        <v>2312000</v>
      </c>
      <c r="Q65" s="373">
        <f>ROUNDUP((+$J65)*'SUPUESTOS GASTOS'!$F$24,-3)</f>
        <v>1184000</v>
      </c>
      <c r="R65" s="352">
        <f t="shared" si="36"/>
        <v>1133000</v>
      </c>
      <c r="S65" s="352">
        <f t="shared" si="37"/>
        <v>567000</v>
      </c>
      <c r="T65" s="352">
        <f t="shared" si="38"/>
        <v>850000</v>
      </c>
      <c r="U65" s="352">
        <f t="shared" si="39"/>
        <v>42445757</v>
      </c>
      <c r="V65" s="352"/>
      <c r="W65" s="431">
        <f t="shared" si="40"/>
        <v>42445757</v>
      </c>
      <c r="Y65" s="531">
        <v>0.0435</v>
      </c>
    </row>
    <row r="66" spans="1:25" ht="15">
      <c r="A66" s="337">
        <v>46</v>
      </c>
      <c r="B66" s="383" t="s">
        <v>306</v>
      </c>
      <c r="C66" s="351">
        <v>44572</v>
      </c>
      <c r="D66" s="351">
        <v>44918</v>
      </c>
      <c r="E66" s="384">
        <f t="shared" si="31"/>
        <v>343</v>
      </c>
      <c r="F66" s="352">
        <v>2265522</v>
      </c>
      <c r="G66" s="352">
        <f>+F66*(1+'SUPUESTOS GASTOS'!$F$6)</f>
        <v>2378798.1</v>
      </c>
      <c r="H66" s="352"/>
      <c r="I66" s="352">
        <f t="shared" si="32"/>
        <v>2378798.1</v>
      </c>
      <c r="J66" s="352">
        <f>ROUND(+((G66/'SUPUESTOS GASTOS'!$F$12)*E66),0)</f>
        <v>27197592</v>
      </c>
      <c r="K66" s="352">
        <f>ROUND(+((I66*E66)/'SUPUESTOS GASTOS'!$F$10),0)</f>
        <v>2266466</v>
      </c>
      <c r="L66" s="352">
        <f t="shared" si="33"/>
        <v>272000</v>
      </c>
      <c r="M66" s="352">
        <f t="shared" si="34"/>
        <v>2266466</v>
      </c>
      <c r="N66" s="352">
        <f t="shared" si="35"/>
        <v>1133233</v>
      </c>
      <c r="O66" s="352">
        <f>ROUNDUP((+$J66)*'SUPUESTOS GASTOS'!$F$19,-3)</f>
        <v>3264000</v>
      </c>
      <c r="P66" s="352">
        <f>ROUNDUP((+$J66)*'SUPUESTOS GASTOS'!$F$20,-3)</f>
        <v>2312000</v>
      </c>
      <c r="Q66" s="373">
        <f>ROUNDUP((+$J66)*'SUPUESTOS GASTOS'!$F$24,-3)</f>
        <v>1184000</v>
      </c>
      <c r="R66" s="352">
        <f t="shared" si="36"/>
        <v>1133000</v>
      </c>
      <c r="S66" s="352">
        <f t="shared" si="37"/>
        <v>567000</v>
      </c>
      <c r="T66" s="352">
        <f t="shared" si="38"/>
        <v>850000</v>
      </c>
      <c r="U66" s="352">
        <f t="shared" si="39"/>
        <v>42445757</v>
      </c>
      <c r="V66" s="352"/>
      <c r="W66" s="431">
        <f t="shared" si="40"/>
        <v>42445757</v>
      </c>
      <c r="Y66" s="531">
        <v>0.0435</v>
      </c>
    </row>
    <row r="67" spans="1:25" ht="15">
      <c r="A67" s="337">
        <v>47</v>
      </c>
      <c r="B67" s="383" t="s">
        <v>307</v>
      </c>
      <c r="C67" s="351">
        <v>44572</v>
      </c>
      <c r="D67" s="351">
        <v>44918</v>
      </c>
      <c r="E67" s="384">
        <f t="shared" si="31"/>
        <v>343</v>
      </c>
      <c r="F67" s="352">
        <v>2265522</v>
      </c>
      <c r="G67" s="352">
        <f>+F67*(1+'SUPUESTOS GASTOS'!$F$6)</f>
        <v>2378798.1</v>
      </c>
      <c r="H67" s="352"/>
      <c r="I67" s="352">
        <f t="shared" si="32"/>
        <v>2378798.1</v>
      </c>
      <c r="J67" s="352">
        <f>ROUND(+((G67/'SUPUESTOS GASTOS'!$F$12)*E67),0)</f>
        <v>27197592</v>
      </c>
      <c r="K67" s="352">
        <f>ROUND(+((I67*E67)/'SUPUESTOS GASTOS'!$F$10),0)</f>
        <v>2266466</v>
      </c>
      <c r="L67" s="352">
        <f t="shared" si="33"/>
        <v>272000</v>
      </c>
      <c r="M67" s="352">
        <f t="shared" si="34"/>
        <v>2266466</v>
      </c>
      <c r="N67" s="352">
        <f t="shared" si="35"/>
        <v>1133233</v>
      </c>
      <c r="O67" s="352">
        <f>ROUNDUP((+$J67)*'SUPUESTOS GASTOS'!$F$19,-3)</f>
        <v>3264000</v>
      </c>
      <c r="P67" s="352">
        <f>ROUNDUP((+$J67)*'SUPUESTOS GASTOS'!$F$20,-3)</f>
        <v>2312000</v>
      </c>
      <c r="Q67" s="373">
        <f>ROUNDUP((+$J67)*'SUPUESTOS GASTOS'!$F$24,-3)</f>
        <v>1184000</v>
      </c>
      <c r="R67" s="352">
        <f t="shared" si="36"/>
        <v>1133000</v>
      </c>
      <c r="S67" s="352">
        <f t="shared" si="37"/>
        <v>567000</v>
      </c>
      <c r="T67" s="352">
        <f t="shared" si="38"/>
        <v>850000</v>
      </c>
      <c r="U67" s="352">
        <f t="shared" si="39"/>
        <v>42445757</v>
      </c>
      <c r="V67" s="352"/>
      <c r="W67" s="431">
        <f t="shared" si="40"/>
        <v>42445757</v>
      </c>
      <c r="Y67" s="531">
        <v>0.0435</v>
      </c>
    </row>
    <row r="68" spans="1:25" ht="15">
      <c r="A68" s="337">
        <v>48</v>
      </c>
      <c r="B68" s="383" t="s">
        <v>308</v>
      </c>
      <c r="C68" s="351">
        <v>44572</v>
      </c>
      <c r="D68" s="351">
        <v>44918</v>
      </c>
      <c r="E68" s="384">
        <f t="shared" si="31"/>
        <v>343</v>
      </c>
      <c r="F68" s="352">
        <v>2265522</v>
      </c>
      <c r="G68" s="352">
        <f>+F68*(1+'SUPUESTOS GASTOS'!$F$6)</f>
        <v>2378798.1</v>
      </c>
      <c r="H68" s="352"/>
      <c r="I68" s="352">
        <f t="shared" si="32"/>
        <v>2378798.1</v>
      </c>
      <c r="J68" s="352">
        <f>ROUND(+((G68/'SUPUESTOS GASTOS'!$F$12)*E68),0)</f>
        <v>27197592</v>
      </c>
      <c r="K68" s="352">
        <f>ROUND(+((I68*E68)/'SUPUESTOS GASTOS'!$F$10),0)</f>
        <v>2266466</v>
      </c>
      <c r="L68" s="352">
        <f t="shared" si="33"/>
        <v>272000</v>
      </c>
      <c r="M68" s="352">
        <f t="shared" si="34"/>
        <v>2266466</v>
      </c>
      <c r="N68" s="352">
        <f t="shared" si="35"/>
        <v>1133233</v>
      </c>
      <c r="O68" s="352">
        <f>ROUNDUP((+$J68)*'SUPUESTOS GASTOS'!$F$19,-3)</f>
        <v>3264000</v>
      </c>
      <c r="P68" s="352">
        <f>ROUNDUP((+$J68)*'SUPUESTOS GASTOS'!$F$20,-3)</f>
        <v>2312000</v>
      </c>
      <c r="Q68" s="373">
        <f>ROUNDUP((+$J68)*'SUPUESTOS GASTOS'!$F$24,-3)</f>
        <v>1184000</v>
      </c>
      <c r="R68" s="352">
        <f t="shared" si="36"/>
        <v>1133000</v>
      </c>
      <c r="S68" s="352">
        <f t="shared" si="37"/>
        <v>567000</v>
      </c>
      <c r="T68" s="352">
        <f t="shared" si="38"/>
        <v>850000</v>
      </c>
      <c r="U68" s="352">
        <f t="shared" si="39"/>
        <v>42445757</v>
      </c>
      <c r="V68" s="352"/>
      <c r="W68" s="431">
        <f t="shared" si="40"/>
        <v>42445757</v>
      </c>
      <c r="Y68" s="531">
        <v>0.0435</v>
      </c>
    </row>
    <row r="69" spans="1:25" ht="15">
      <c r="A69" s="337">
        <v>49</v>
      </c>
      <c r="B69" s="383" t="s">
        <v>309</v>
      </c>
      <c r="C69" s="351">
        <v>44572</v>
      </c>
      <c r="D69" s="351">
        <v>44918</v>
      </c>
      <c r="E69" s="384">
        <f t="shared" si="31"/>
        <v>343</v>
      </c>
      <c r="F69" s="352">
        <v>2265522</v>
      </c>
      <c r="G69" s="352">
        <f>+F69*(1+'SUPUESTOS GASTOS'!$F$6)</f>
        <v>2378798.1</v>
      </c>
      <c r="H69" s="352"/>
      <c r="I69" s="352">
        <f t="shared" si="32"/>
        <v>2378798.1</v>
      </c>
      <c r="J69" s="352">
        <f>ROUND(+((G69/'SUPUESTOS GASTOS'!$F$12)*E69),0)</f>
        <v>27197592</v>
      </c>
      <c r="K69" s="352">
        <f>ROUND(+((I69*E69)/'SUPUESTOS GASTOS'!$F$10),0)</f>
        <v>2266466</v>
      </c>
      <c r="L69" s="352">
        <f t="shared" si="33"/>
        <v>272000</v>
      </c>
      <c r="M69" s="352">
        <f t="shared" si="34"/>
        <v>2266466</v>
      </c>
      <c r="N69" s="352">
        <f t="shared" si="35"/>
        <v>1133233</v>
      </c>
      <c r="O69" s="352">
        <f>ROUNDUP((+$J69)*'SUPUESTOS GASTOS'!$F$19,-3)</f>
        <v>3264000</v>
      </c>
      <c r="P69" s="352">
        <f>ROUNDUP((+$J69)*'SUPUESTOS GASTOS'!$F$20,-3)</f>
        <v>2312000</v>
      </c>
      <c r="Q69" s="373">
        <f>ROUNDUP((+$J69)*'SUPUESTOS GASTOS'!$F$24,-3)</f>
        <v>1184000</v>
      </c>
      <c r="R69" s="352">
        <f t="shared" si="36"/>
        <v>1133000</v>
      </c>
      <c r="S69" s="352">
        <f t="shared" si="37"/>
        <v>567000</v>
      </c>
      <c r="T69" s="352">
        <f t="shared" si="38"/>
        <v>850000</v>
      </c>
      <c r="U69" s="352">
        <f t="shared" si="39"/>
        <v>42445757</v>
      </c>
      <c r="V69" s="352"/>
      <c r="W69" s="431">
        <f t="shared" si="40"/>
        <v>42445757</v>
      </c>
      <c r="Y69" s="531">
        <v>0.0435</v>
      </c>
    </row>
    <row r="70" spans="1:25" ht="15.75" thickBot="1">
      <c r="A70" s="337">
        <v>50</v>
      </c>
      <c r="B70" s="385" t="s">
        <v>391</v>
      </c>
      <c r="C70" s="376">
        <v>44564</v>
      </c>
      <c r="D70" s="376">
        <v>44925</v>
      </c>
      <c r="E70" s="386">
        <f t="shared" si="30"/>
        <v>358</v>
      </c>
      <c r="F70" s="377">
        <v>2265522</v>
      </c>
      <c r="G70" s="377">
        <f>+F70*(1+'SUPUESTOS GASTOS'!$F$6)</f>
        <v>2378798.1</v>
      </c>
      <c r="H70" s="377"/>
      <c r="I70" s="377">
        <f t="shared" si="21"/>
        <v>2378798.1</v>
      </c>
      <c r="J70" s="377">
        <f>ROUND(+((G70/'SUPUESTOS GASTOS'!$F$12)*E70),0)</f>
        <v>28386991</v>
      </c>
      <c r="K70" s="377">
        <f>ROUND(+((I70*E70)/'SUPUESTOS GASTOS'!$F$10),0)</f>
        <v>2365583</v>
      </c>
      <c r="L70" s="377">
        <f t="shared" si="22"/>
        <v>284000</v>
      </c>
      <c r="M70" s="377">
        <f t="shared" si="23"/>
        <v>2365583</v>
      </c>
      <c r="N70" s="377">
        <f t="shared" si="24"/>
        <v>1182791</v>
      </c>
      <c r="O70" s="377">
        <f>ROUNDUP((+$J70)*'SUPUESTOS GASTOS'!$F$19,-3)</f>
        <v>3407000</v>
      </c>
      <c r="P70" s="377">
        <f>ROUNDUP((+$J70)*'SUPUESTOS GASTOS'!$F$20,-3)</f>
        <v>2413000</v>
      </c>
      <c r="Q70" s="453">
        <f>ROUNDUP((+$J70)*'SUPUESTOS GASTOS'!$F$23,-3)</f>
        <v>692000</v>
      </c>
      <c r="R70" s="377">
        <f t="shared" si="25"/>
        <v>1183000</v>
      </c>
      <c r="S70" s="377">
        <f t="shared" si="26"/>
        <v>591000</v>
      </c>
      <c r="T70" s="377">
        <f t="shared" si="27"/>
        <v>887000</v>
      </c>
      <c r="U70" s="377">
        <f t="shared" si="28"/>
        <v>43757948</v>
      </c>
      <c r="V70" s="377"/>
      <c r="W70" s="445">
        <f t="shared" si="29"/>
        <v>43757948</v>
      </c>
      <c r="Y70" s="532">
        <v>0.02436</v>
      </c>
    </row>
    <row r="71" spans="1:25" s="353" customFormat="1" ht="15.75" thickBot="1">
      <c r="A71" s="337"/>
      <c r="B71" s="436" t="s">
        <v>28</v>
      </c>
      <c r="C71" s="380"/>
      <c r="D71" s="380"/>
      <c r="E71" s="437"/>
      <c r="F71" s="451">
        <f aca="true" t="shared" si="41" ref="F71:W71">SUM(F43:F70)</f>
        <v>64861382</v>
      </c>
      <c r="G71" s="451">
        <f t="shared" si="41"/>
        <v>68104451.10000002</v>
      </c>
      <c r="H71" s="381">
        <f t="shared" si="41"/>
        <v>111776.7</v>
      </c>
      <c r="I71" s="451">
        <f>SUM(I43:I70)</f>
        <v>68216227.80000003</v>
      </c>
      <c r="J71" s="451">
        <f>SUM(J43:J70)</f>
        <v>787799343</v>
      </c>
      <c r="K71" s="451">
        <f t="shared" si="41"/>
        <v>64807150</v>
      </c>
      <c r="L71" s="451">
        <f t="shared" si="41"/>
        <v>7778000</v>
      </c>
      <c r="M71" s="451">
        <f t="shared" si="41"/>
        <v>64807150</v>
      </c>
      <c r="N71" s="451">
        <f t="shared" si="41"/>
        <v>32347995</v>
      </c>
      <c r="O71" s="452">
        <f t="shared" si="41"/>
        <v>93173000</v>
      </c>
      <c r="P71" s="452">
        <f t="shared" si="41"/>
        <v>67429000</v>
      </c>
      <c r="Q71" s="452">
        <f t="shared" si="41"/>
        <v>31676000</v>
      </c>
      <c r="R71" s="452">
        <f t="shared" si="41"/>
        <v>32341000</v>
      </c>
      <c r="S71" s="452">
        <f t="shared" si="41"/>
        <v>16181000</v>
      </c>
      <c r="T71" s="452">
        <f t="shared" si="41"/>
        <v>24263000</v>
      </c>
      <c r="U71" s="452">
        <f t="shared" si="41"/>
        <v>1223936507</v>
      </c>
      <c r="V71" s="438">
        <f t="shared" si="41"/>
        <v>1500000</v>
      </c>
      <c r="W71" s="439">
        <f t="shared" si="41"/>
        <v>1225436507</v>
      </c>
      <c r="Y71" s="536"/>
    </row>
    <row r="72" spans="6:24" ht="15.75" thickBot="1">
      <c r="F72" s="378"/>
      <c r="G72" s="378"/>
      <c r="H72" s="379"/>
      <c r="I72" s="378"/>
      <c r="J72" s="378"/>
      <c r="K72" s="378"/>
      <c r="L72" s="378"/>
      <c r="M72" s="378"/>
      <c r="N72" s="378"/>
      <c r="O72" s="356"/>
      <c r="P72" s="356"/>
      <c r="Q72" s="356"/>
      <c r="R72" s="356"/>
      <c r="S72" s="356"/>
      <c r="T72" s="355"/>
      <c r="U72" s="355"/>
      <c r="V72" s="356"/>
      <c r="W72" s="356"/>
      <c r="X72" s="387"/>
    </row>
    <row r="73" spans="1:25" s="353" customFormat="1" ht="15.75" thickBot="1">
      <c r="A73" s="337"/>
      <c r="B73" s="357" t="s">
        <v>94</v>
      </c>
      <c r="C73" s="358"/>
      <c r="D73" s="358"/>
      <c r="E73" s="359"/>
      <c r="F73" s="360"/>
      <c r="G73" s="361"/>
      <c r="H73" s="361"/>
      <c r="I73" s="361"/>
      <c r="J73" s="361"/>
      <c r="K73" s="361"/>
      <c r="L73" s="361"/>
      <c r="M73" s="361"/>
      <c r="N73" s="361"/>
      <c r="O73" s="362"/>
      <c r="P73" s="362"/>
      <c r="Q73" s="362"/>
      <c r="R73" s="362"/>
      <c r="S73" s="362"/>
      <c r="T73" s="362"/>
      <c r="U73" s="363">
        <v>1500000</v>
      </c>
      <c r="V73" s="364"/>
      <c r="W73" s="364"/>
      <c r="Y73" s="332"/>
    </row>
    <row r="74" spans="1:25" s="353" customFormat="1" ht="15.75" thickBot="1">
      <c r="A74" s="337"/>
      <c r="B74" s="365"/>
      <c r="C74" s="365"/>
      <c r="D74" s="365"/>
      <c r="E74" s="341"/>
      <c r="F74" s="382"/>
      <c r="G74" s="366"/>
      <c r="H74" s="366"/>
      <c r="I74" s="366"/>
      <c r="J74" s="366"/>
      <c r="K74" s="366"/>
      <c r="L74" s="366"/>
      <c r="M74" s="366"/>
      <c r="N74" s="366"/>
      <c r="O74" s="367"/>
      <c r="P74" s="367"/>
      <c r="Q74" s="367"/>
      <c r="R74" s="367"/>
      <c r="S74" s="367"/>
      <c r="T74" s="367"/>
      <c r="U74" s="367"/>
      <c r="V74" s="364"/>
      <c r="W74" s="364"/>
      <c r="Y74" s="534"/>
    </row>
    <row r="75" spans="2:25" s="343" customFormat="1" ht="15.75" thickBot="1">
      <c r="B75" s="344"/>
      <c r="C75" s="344"/>
      <c r="D75" s="344"/>
      <c r="E75" s="344"/>
      <c r="F75" s="455" t="s">
        <v>276</v>
      </c>
      <c r="G75" s="696" t="s">
        <v>313</v>
      </c>
      <c r="H75" s="696"/>
      <c r="I75" s="697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9"/>
      <c r="V75" s="370"/>
      <c r="W75" s="370"/>
      <c r="Y75" s="526"/>
    </row>
    <row r="76" spans="2:25" s="348" customFormat="1" ht="36" customHeight="1" thickBot="1">
      <c r="B76" s="430" t="s">
        <v>290</v>
      </c>
      <c r="C76" s="426" t="s">
        <v>98</v>
      </c>
      <c r="D76" s="426" t="s">
        <v>99</v>
      </c>
      <c r="E76" s="427" t="s">
        <v>228</v>
      </c>
      <c r="F76" s="428" t="s">
        <v>1</v>
      </c>
      <c r="G76" s="428" t="s">
        <v>1</v>
      </c>
      <c r="H76" s="428" t="s">
        <v>34</v>
      </c>
      <c r="I76" s="428" t="s">
        <v>2</v>
      </c>
      <c r="J76" s="429" t="s">
        <v>3</v>
      </c>
      <c r="K76" s="429" t="s">
        <v>4</v>
      </c>
      <c r="L76" s="429" t="s">
        <v>5</v>
      </c>
      <c r="M76" s="429" t="s">
        <v>6</v>
      </c>
      <c r="N76" s="429" t="s">
        <v>7</v>
      </c>
      <c r="O76" s="429" t="s">
        <v>8</v>
      </c>
      <c r="P76" s="429" t="s">
        <v>9</v>
      </c>
      <c r="Q76" s="429" t="s">
        <v>10</v>
      </c>
      <c r="R76" s="429" t="s">
        <v>11</v>
      </c>
      <c r="S76" s="429" t="s">
        <v>12</v>
      </c>
      <c r="T76" s="429" t="s">
        <v>13</v>
      </c>
      <c r="U76" s="429" t="s">
        <v>14</v>
      </c>
      <c r="V76" s="429" t="s">
        <v>87</v>
      </c>
      <c r="W76" s="448" t="s">
        <v>125</v>
      </c>
      <c r="Y76" s="527" t="s">
        <v>382</v>
      </c>
    </row>
    <row r="77" spans="1:25" ht="15">
      <c r="A77" s="337">
        <v>51</v>
      </c>
      <c r="B77" s="440" t="s">
        <v>295</v>
      </c>
      <c r="C77" s="349">
        <v>44572</v>
      </c>
      <c r="D77" s="349">
        <v>44918</v>
      </c>
      <c r="E77" s="441">
        <f>DAYS360(C77,D77)+1</f>
        <v>343</v>
      </c>
      <c r="F77" s="350">
        <v>0</v>
      </c>
      <c r="G77" s="350">
        <f>+G69</f>
        <v>2378798.1</v>
      </c>
      <c r="H77" s="350"/>
      <c r="I77" s="350">
        <f>SUM(G77:H77)</f>
        <v>2378798.1</v>
      </c>
      <c r="J77" s="350">
        <f>ROUND(+((G77/'SUPUESTOS GASTOS'!$F$12)*E77),0)</f>
        <v>27197592</v>
      </c>
      <c r="K77" s="350">
        <f>ROUND(+((I77*E77)/'SUPUESTOS GASTOS'!$F$10),0)</f>
        <v>2266466</v>
      </c>
      <c r="L77" s="350">
        <f>+ROUND(((I77/30)*E77)*0.01,-3)</f>
        <v>272000</v>
      </c>
      <c r="M77" s="350">
        <f>+K77</f>
        <v>2266466</v>
      </c>
      <c r="N77" s="350">
        <f>ROUND(+(G77*E77)/720,0)</f>
        <v>1133233</v>
      </c>
      <c r="O77" s="350">
        <f>ROUNDUP((+$J77)*'SUPUESTOS GASTOS'!$F$19,-3)</f>
        <v>3264000</v>
      </c>
      <c r="P77" s="350">
        <f>ROUNDUP((+$J77)*'SUPUESTOS GASTOS'!$F$20,-3)</f>
        <v>2312000</v>
      </c>
      <c r="Q77" s="372">
        <f>ROUNDUP((+$J77)*'SUPUESTOS GASTOS'!$F$24,-3)</f>
        <v>1184000</v>
      </c>
      <c r="R77" s="350">
        <f>ROUND((J77*4%)+(N77*4%),-3)</f>
        <v>1133000</v>
      </c>
      <c r="S77" s="350">
        <f>ROUND((J77*2%)+(N77*2%),0-3)</f>
        <v>567000</v>
      </c>
      <c r="T77" s="350">
        <f>ROUND((J77*3%)+(N77*3%),-3)</f>
        <v>850000</v>
      </c>
      <c r="U77" s="350">
        <f>SUM(J77:T77)</f>
        <v>42445757</v>
      </c>
      <c r="V77" s="350"/>
      <c r="W77" s="443">
        <f>+V77+U77</f>
        <v>42445757</v>
      </c>
      <c r="Y77" s="530">
        <v>0.0435</v>
      </c>
    </row>
    <row r="78" spans="1:25" ht="15">
      <c r="A78" s="337">
        <v>52</v>
      </c>
      <c r="B78" s="383" t="s">
        <v>295</v>
      </c>
      <c r="C78" s="351">
        <v>44572</v>
      </c>
      <c r="D78" s="351">
        <v>44918</v>
      </c>
      <c r="E78" s="384">
        <f>DAYS360(C78,D78)+1</f>
        <v>343</v>
      </c>
      <c r="F78" s="352">
        <v>0</v>
      </c>
      <c r="G78" s="352">
        <f>+G69</f>
        <v>2378798.1</v>
      </c>
      <c r="H78" s="352"/>
      <c r="I78" s="352">
        <f>SUM(G78:H78)</f>
        <v>2378798.1</v>
      </c>
      <c r="J78" s="352">
        <f>ROUND(+((G78/'SUPUESTOS GASTOS'!$F$12)*E78),0)</f>
        <v>27197592</v>
      </c>
      <c r="K78" s="352">
        <f>ROUND(+((I78*E78)/'SUPUESTOS GASTOS'!$F$10),0)</f>
        <v>2266466</v>
      </c>
      <c r="L78" s="352">
        <f>+ROUND(((I78/30)*E78)*0.01,-3)</f>
        <v>272000</v>
      </c>
      <c r="M78" s="352">
        <f>+K78</f>
        <v>2266466</v>
      </c>
      <c r="N78" s="352">
        <f>ROUND(+(G78*E78)/720,0)</f>
        <v>1133233</v>
      </c>
      <c r="O78" s="352">
        <f>ROUNDUP((+$J78)*'SUPUESTOS GASTOS'!$F$19,-3)</f>
        <v>3264000</v>
      </c>
      <c r="P78" s="352">
        <f>ROUNDUP((+$J78)*'SUPUESTOS GASTOS'!$F$20,-3)</f>
        <v>2312000</v>
      </c>
      <c r="Q78" s="373">
        <f>ROUNDUP((+$J78)*'SUPUESTOS GASTOS'!$F$24,-3)</f>
        <v>1184000</v>
      </c>
      <c r="R78" s="352">
        <f>ROUND((J78*4%)+(N78*4%),-3)</f>
        <v>1133000</v>
      </c>
      <c r="S78" s="352">
        <f>ROUND((J78*2%)+(N78*2%),0-3)</f>
        <v>567000</v>
      </c>
      <c r="T78" s="352">
        <f>ROUND((J78*3%)+(N78*3%),-3)</f>
        <v>850000</v>
      </c>
      <c r="U78" s="352">
        <f>SUM(J78:T78)</f>
        <v>42445757</v>
      </c>
      <c r="V78" s="352"/>
      <c r="W78" s="431">
        <f>+V78+U78</f>
        <v>42445757</v>
      </c>
      <c r="Y78" s="531">
        <v>0.0435</v>
      </c>
    </row>
    <row r="79" spans="1:25" ht="15.75" thickBot="1">
      <c r="A79" s="337">
        <v>53</v>
      </c>
      <c r="B79" s="385" t="s">
        <v>295</v>
      </c>
      <c r="C79" s="376">
        <v>44572</v>
      </c>
      <c r="D79" s="376">
        <v>44918</v>
      </c>
      <c r="E79" s="386">
        <f>DAYS360(C79,D79)+1</f>
        <v>343</v>
      </c>
      <c r="F79" s="377">
        <v>0</v>
      </c>
      <c r="G79" s="377">
        <f>+G69</f>
        <v>2378798.1</v>
      </c>
      <c r="H79" s="377"/>
      <c r="I79" s="377">
        <f>SUM(G79:H79)</f>
        <v>2378798.1</v>
      </c>
      <c r="J79" s="377">
        <f>ROUND(+((G79/'SUPUESTOS GASTOS'!$F$12)*E79),0)</f>
        <v>27197592</v>
      </c>
      <c r="K79" s="377">
        <f>ROUND(+((I79*E79)/'SUPUESTOS GASTOS'!$F$10),0)</f>
        <v>2266466</v>
      </c>
      <c r="L79" s="377">
        <f>+ROUND(((I79/30)*E79)*0.01,-3)</f>
        <v>272000</v>
      </c>
      <c r="M79" s="377">
        <f>+K79</f>
        <v>2266466</v>
      </c>
      <c r="N79" s="377">
        <f>ROUND(+(G79*E79)/720,0)</f>
        <v>1133233</v>
      </c>
      <c r="O79" s="377">
        <f>ROUNDUP((+$J79)*'SUPUESTOS GASTOS'!$F$19,-3)</f>
        <v>3264000</v>
      </c>
      <c r="P79" s="377">
        <f>ROUNDUP((+$J79)*'SUPUESTOS GASTOS'!$F$20,-3)</f>
        <v>2312000</v>
      </c>
      <c r="Q79" s="453">
        <f>ROUNDUP((+$J79)*'SUPUESTOS GASTOS'!$F$24,-3)</f>
        <v>1184000</v>
      </c>
      <c r="R79" s="377">
        <f>ROUND((J79*4%)+(N79*4%),-3)</f>
        <v>1133000</v>
      </c>
      <c r="S79" s="377">
        <f>ROUND((J79*2%)+(N79*2%),0-3)</f>
        <v>567000</v>
      </c>
      <c r="T79" s="377">
        <f>ROUND((J79*3%)+(N79*3%),-3)</f>
        <v>850000</v>
      </c>
      <c r="U79" s="377">
        <f>SUM(J79:T79)</f>
        <v>42445757</v>
      </c>
      <c r="V79" s="377"/>
      <c r="W79" s="445">
        <f>+V79+U79</f>
        <v>42445757</v>
      </c>
      <c r="Y79" s="532">
        <v>0.0435</v>
      </c>
    </row>
    <row r="80" spans="1:25" s="353" customFormat="1" ht="15.75" thickBot="1">
      <c r="A80" s="337"/>
      <c r="B80" s="436" t="s">
        <v>28</v>
      </c>
      <c r="C80" s="380"/>
      <c r="D80" s="380"/>
      <c r="E80" s="437"/>
      <c r="F80" s="451">
        <f aca="true" t="shared" si="42" ref="F80:W80">SUM(F77:F79)</f>
        <v>0</v>
      </c>
      <c r="G80" s="451">
        <f t="shared" si="42"/>
        <v>7136394.300000001</v>
      </c>
      <c r="H80" s="381">
        <f t="shared" si="42"/>
        <v>0</v>
      </c>
      <c r="I80" s="451">
        <f t="shared" si="42"/>
        <v>7136394.300000001</v>
      </c>
      <c r="J80" s="451">
        <f t="shared" si="42"/>
        <v>81592776</v>
      </c>
      <c r="K80" s="451">
        <f t="shared" si="42"/>
        <v>6799398</v>
      </c>
      <c r="L80" s="451">
        <f t="shared" si="42"/>
        <v>816000</v>
      </c>
      <c r="M80" s="451">
        <f t="shared" si="42"/>
        <v>6799398</v>
      </c>
      <c r="N80" s="451">
        <f t="shared" si="42"/>
        <v>3399699</v>
      </c>
      <c r="O80" s="452">
        <f t="shared" si="42"/>
        <v>9792000</v>
      </c>
      <c r="P80" s="452">
        <f t="shared" si="42"/>
        <v>6936000</v>
      </c>
      <c r="Q80" s="452">
        <f t="shared" si="42"/>
        <v>3552000</v>
      </c>
      <c r="R80" s="452">
        <f t="shared" si="42"/>
        <v>3399000</v>
      </c>
      <c r="S80" s="452">
        <f t="shared" si="42"/>
        <v>1701000</v>
      </c>
      <c r="T80" s="452">
        <f t="shared" si="42"/>
        <v>2550000</v>
      </c>
      <c r="U80" s="452">
        <f t="shared" si="42"/>
        <v>127337271</v>
      </c>
      <c r="V80" s="438">
        <f t="shared" si="42"/>
        <v>0</v>
      </c>
      <c r="W80" s="439">
        <f t="shared" si="42"/>
        <v>127337271</v>
      </c>
      <c r="Y80" s="536"/>
    </row>
    <row r="81" spans="1:25" s="353" customFormat="1" ht="15">
      <c r="A81" s="337"/>
      <c r="B81" s="341"/>
      <c r="C81" s="365"/>
      <c r="D81" s="365"/>
      <c r="E81" s="341"/>
      <c r="F81" s="366"/>
      <c r="G81" s="366"/>
      <c r="H81" s="382"/>
      <c r="I81" s="366"/>
      <c r="J81" s="366"/>
      <c r="K81" s="366"/>
      <c r="L81" s="366"/>
      <c r="M81" s="366"/>
      <c r="N81" s="366"/>
      <c r="O81" s="367"/>
      <c r="P81" s="367"/>
      <c r="Q81" s="367"/>
      <c r="R81" s="367"/>
      <c r="S81" s="367"/>
      <c r="T81" s="367"/>
      <c r="U81" s="367"/>
      <c r="V81" s="388"/>
      <c r="W81" s="367"/>
      <c r="Y81" s="534"/>
    </row>
    <row r="82" spans="1:25" s="353" customFormat="1" ht="15.75" thickBot="1">
      <c r="A82" s="337"/>
      <c r="B82" s="341"/>
      <c r="C82" s="365"/>
      <c r="D82" s="366"/>
      <c r="E82" s="366"/>
      <c r="F82" s="366"/>
      <c r="G82" s="366"/>
      <c r="H82" s="366"/>
      <c r="I82" s="366"/>
      <c r="J82" s="366"/>
      <c r="K82" s="366"/>
      <c r="L82" s="366"/>
      <c r="M82" s="366"/>
      <c r="N82" s="366"/>
      <c r="O82" s="367"/>
      <c r="P82" s="367"/>
      <c r="Q82" s="367"/>
      <c r="R82" s="367"/>
      <c r="S82" s="367"/>
      <c r="T82" s="367"/>
      <c r="U82" s="367"/>
      <c r="V82" s="388"/>
      <c r="W82" s="367"/>
      <c r="Y82" s="534"/>
    </row>
    <row r="83" spans="1:25" s="343" customFormat="1" ht="15.75" thickBot="1">
      <c r="A83" s="337"/>
      <c r="B83" s="344"/>
      <c r="C83" s="344"/>
      <c r="D83" s="344"/>
      <c r="E83" s="344"/>
      <c r="F83" s="455" t="s">
        <v>276</v>
      </c>
      <c r="G83" s="696" t="s">
        <v>313</v>
      </c>
      <c r="H83" s="696"/>
      <c r="I83" s="697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9"/>
      <c r="V83" s="370"/>
      <c r="W83" s="370"/>
      <c r="Y83" s="526"/>
    </row>
    <row r="84" spans="1:25" s="348" customFormat="1" ht="31.5" thickBot="1">
      <c r="A84" s="337"/>
      <c r="B84" s="430" t="s">
        <v>271</v>
      </c>
      <c r="C84" s="426" t="s">
        <v>98</v>
      </c>
      <c r="D84" s="426" t="s">
        <v>99</v>
      </c>
      <c r="E84" s="427" t="s">
        <v>228</v>
      </c>
      <c r="F84" s="428" t="s">
        <v>1</v>
      </c>
      <c r="G84" s="428" t="s">
        <v>1</v>
      </c>
      <c r="H84" s="428" t="s">
        <v>34</v>
      </c>
      <c r="I84" s="428" t="s">
        <v>2</v>
      </c>
      <c r="J84" s="429" t="s">
        <v>3</v>
      </c>
      <c r="K84" s="429" t="s">
        <v>4</v>
      </c>
      <c r="L84" s="429" t="s">
        <v>5</v>
      </c>
      <c r="M84" s="429" t="s">
        <v>6</v>
      </c>
      <c r="N84" s="429" t="s">
        <v>7</v>
      </c>
      <c r="O84" s="429" t="s">
        <v>8</v>
      </c>
      <c r="P84" s="429" t="s">
        <v>9</v>
      </c>
      <c r="Q84" s="429" t="s">
        <v>10</v>
      </c>
      <c r="R84" s="429" t="s">
        <v>11</v>
      </c>
      <c r="S84" s="429" t="s">
        <v>12</v>
      </c>
      <c r="T84" s="429" t="s">
        <v>13</v>
      </c>
      <c r="U84" s="429" t="s">
        <v>14</v>
      </c>
      <c r="V84" s="429" t="s">
        <v>87</v>
      </c>
      <c r="W84" s="448" t="s">
        <v>125</v>
      </c>
      <c r="Y84" s="527" t="s">
        <v>382</v>
      </c>
    </row>
    <row r="85" spans="1:25" ht="15">
      <c r="A85" s="337">
        <v>54</v>
      </c>
      <c r="B85" s="440" t="s">
        <v>140</v>
      </c>
      <c r="C85" s="349">
        <v>44564</v>
      </c>
      <c r="D85" s="349">
        <v>44925</v>
      </c>
      <c r="E85" s="441">
        <f>DAYS360(C85,D85)+1</f>
        <v>358</v>
      </c>
      <c r="F85" s="350">
        <v>4417768</v>
      </c>
      <c r="G85" s="350">
        <f>+F85*(1+'SUPUESTOS GASTOS'!$F$6)</f>
        <v>4638656.4</v>
      </c>
      <c r="H85" s="350"/>
      <c r="I85" s="350">
        <f>SUM(G85:H85)</f>
        <v>4638656.4</v>
      </c>
      <c r="J85" s="350">
        <f>ROUND(+((G85/'SUPUESTOS GASTOS'!$F$12)*E85),0)</f>
        <v>55354633</v>
      </c>
      <c r="K85" s="350">
        <f>ROUND(+((I85*E85)/'SUPUESTOS GASTOS'!$F$10),0)</f>
        <v>4612886</v>
      </c>
      <c r="L85" s="350">
        <f>+ROUND(((I85/30)*E85)*0.01,-3)</f>
        <v>554000</v>
      </c>
      <c r="M85" s="350">
        <f>+K85</f>
        <v>4612886</v>
      </c>
      <c r="N85" s="350">
        <f>ROUND(+(G85*E85)/720,0)</f>
        <v>2306443</v>
      </c>
      <c r="O85" s="350">
        <f>ROUNDUP((+$J85)*'SUPUESTOS GASTOS'!$F$19,-3)</f>
        <v>6643000</v>
      </c>
      <c r="P85" s="350">
        <f>ROUNDUP((+$J85)*'SUPUESTOS GASTOS'!$F$20,-3)</f>
        <v>4706000</v>
      </c>
      <c r="Q85" s="372">
        <f>ROUNDUP((+$J85)*'SUPUESTOS GASTOS'!$F$23,-3)</f>
        <v>1349000</v>
      </c>
      <c r="R85" s="350">
        <f>ROUND((J85*4%)+(N85*4%),-3)</f>
        <v>2306000</v>
      </c>
      <c r="S85" s="350">
        <f>ROUND((J85*2%)+(N85*2%),0-3)</f>
        <v>1153000</v>
      </c>
      <c r="T85" s="350">
        <f>ROUND((J85*3%)+(N85*3%),-3)</f>
        <v>1730000</v>
      </c>
      <c r="U85" s="350">
        <f>SUM(J85:T85)</f>
        <v>85327848</v>
      </c>
      <c r="V85" s="442"/>
      <c r="W85" s="443">
        <f>+U85</f>
        <v>85327848</v>
      </c>
      <c r="Y85" s="530">
        <v>0.02436</v>
      </c>
    </row>
    <row r="86" spans="1:25" ht="15.75" thickBot="1">
      <c r="A86" s="337">
        <v>55</v>
      </c>
      <c r="B86" s="385" t="s">
        <v>139</v>
      </c>
      <c r="C86" s="376">
        <v>44564</v>
      </c>
      <c r="D86" s="376">
        <v>44925</v>
      </c>
      <c r="E86" s="386">
        <f>DAYS360(C86,D86)+1</f>
        <v>358</v>
      </c>
      <c r="F86" s="377">
        <v>2265522</v>
      </c>
      <c r="G86" s="377">
        <f>+F86*(1+'SUPUESTOS GASTOS'!$F$6)</f>
        <v>2378798.1</v>
      </c>
      <c r="H86" s="377"/>
      <c r="I86" s="377">
        <f>SUM(G86:H86)</f>
        <v>2378798.1</v>
      </c>
      <c r="J86" s="377">
        <f>ROUND(+((G86/'SUPUESTOS GASTOS'!$F$12)*E86),0)</f>
        <v>28386991</v>
      </c>
      <c r="K86" s="377">
        <f>ROUND(+((I86*E86)/'SUPUESTOS GASTOS'!$F$10),0)</f>
        <v>2365583</v>
      </c>
      <c r="L86" s="377">
        <f>+ROUND(((I86/30)*E86)*0.01,-3)</f>
        <v>284000</v>
      </c>
      <c r="M86" s="377">
        <f>+K86</f>
        <v>2365583</v>
      </c>
      <c r="N86" s="377">
        <f>ROUND(+(G86*E86)/720,0)</f>
        <v>1182791</v>
      </c>
      <c r="O86" s="377">
        <f>ROUNDUP((+$J86)*'SUPUESTOS GASTOS'!$F$19,-3)</f>
        <v>3407000</v>
      </c>
      <c r="P86" s="377">
        <f>ROUNDUP((+$J86)*'SUPUESTOS GASTOS'!$F$20,-3)</f>
        <v>2413000</v>
      </c>
      <c r="Q86" s="377">
        <f>ROUNDUP((+$J86)*'SUPUESTOS GASTOS'!$F$23,-3)</f>
        <v>692000</v>
      </c>
      <c r="R86" s="377">
        <f>ROUND((J86*4%)+(N86*4%),-3)</f>
        <v>1183000</v>
      </c>
      <c r="S86" s="377">
        <f>ROUND((J86*2%)+(N86*2%),0-3)</f>
        <v>591000</v>
      </c>
      <c r="T86" s="377">
        <f>ROUND((J86*3%)+(N86*3%),-3)</f>
        <v>887000</v>
      </c>
      <c r="U86" s="377">
        <f>SUM(J86:T86)+((H86/30)*E86)</f>
        <v>43757948</v>
      </c>
      <c r="V86" s="377">
        <v>0</v>
      </c>
      <c r="W86" s="445">
        <f>+V86+U86</f>
        <v>43757948</v>
      </c>
      <c r="Y86" s="532">
        <v>0.02436</v>
      </c>
    </row>
    <row r="87" spans="1:25" s="353" customFormat="1" ht="15.75" thickBot="1">
      <c r="A87" s="337"/>
      <c r="B87" s="436" t="s">
        <v>28</v>
      </c>
      <c r="C87" s="380"/>
      <c r="D87" s="380"/>
      <c r="E87" s="437"/>
      <c r="F87" s="451">
        <f>SUM(F85:F86)</f>
        <v>6683290</v>
      </c>
      <c r="G87" s="451">
        <f>SUM(G85:G86)</f>
        <v>7017454.5</v>
      </c>
      <c r="H87" s="451"/>
      <c r="I87" s="451">
        <f aca="true" t="shared" si="43" ref="I87:V87">SUM(I85:I86)</f>
        <v>7017454.5</v>
      </c>
      <c r="J87" s="451">
        <f t="shared" si="43"/>
        <v>83741624</v>
      </c>
      <c r="K87" s="451">
        <f t="shared" si="43"/>
        <v>6978469</v>
      </c>
      <c r="L87" s="451">
        <f t="shared" si="43"/>
        <v>838000</v>
      </c>
      <c r="M87" s="451">
        <f t="shared" si="43"/>
        <v>6978469</v>
      </c>
      <c r="N87" s="451">
        <f t="shared" si="43"/>
        <v>3489234</v>
      </c>
      <c r="O87" s="451">
        <f t="shared" si="43"/>
        <v>10050000</v>
      </c>
      <c r="P87" s="451">
        <f t="shared" si="43"/>
        <v>7119000</v>
      </c>
      <c r="Q87" s="451">
        <f t="shared" si="43"/>
        <v>2041000</v>
      </c>
      <c r="R87" s="451">
        <f t="shared" si="43"/>
        <v>3489000</v>
      </c>
      <c r="S87" s="451">
        <f t="shared" si="43"/>
        <v>1744000</v>
      </c>
      <c r="T87" s="451">
        <f t="shared" si="43"/>
        <v>2617000</v>
      </c>
      <c r="U87" s="451">
        <f>SUM(U85:U86)</f>
        <v>129085796</v>
      </c>
      <c r="V87" s="451">
        <f t="shared" si="43"/>
        <v>0</v>
      </c>
      <c r="W87" s="454">
        <f>SUM(W85:W86)</f>
        <v>129085796</v>
      </c>
      <c r="Y87" s="537"/>
    </row>
    <row r="88" spans="1:25" s="353" customFormat="1" ht="15.75" thickBot="1">
      <c r="A88" s="337"/>
      <c r="B88" s="341"/>
      <c r="C88" s="365"/>
      <c r="D88" s="365"/>
      <c r="E88" s="341"/>
      <c r="F88" s="366"/>
      <c r="G88" s="366"/>
      <c r="H88" s="382"/>
      <c r="I88" s="366"/>
      <c r="J88" s="366"/>
      <c r="K88" s="366"/>
      <c r="L88" s="366"/>
      <c r="M88" s="366"/>
      <c r="N88" s="366"/>
      <c r="O88" s="367"/>
      <c r="P88" s="367"/>
      <c r="Q88" s="367"/>
      <c r="R88" s="367"/>
      <c r="S88" s="367"/>
      <c r="T88" s="367"/>
      <c r="U88" s="367"/>
      <c r="V88" s="388"/>
      <c r="W88" s="367"/>
      <c r="Y88" s="534"/>
    </row>
    <row r="89" spans="1:25" s="343" customFormat="1" ht="15.75" thickBot="1">
      <c r="A89" s="337"/>
      <c r="B89" s="344"/>
      <c r="C89" s="344"/>
      <c r="D89" s="344"/>
      <c r="E89" s="344"/>
      <c r="F89" s="455" t="s">
        <v>276</v>
      </c>
      <c r="G89" s="696" t="s">
        <v>313</v>
      </c>
      <c r="H89" s="696"/>
      <c r="I89" s="697"/>
      <c r="J89" s="368"/>
      <c r="K89" s="368"/>
      <c r="L89" s="368"/>
      <c r="M89" s="368"/>
      <c r="N89" s="368"/>
      <c r="O89" s="368"/>
      <c r="P89" s="368"/>
      <c r="Q89" s="368"/>
      <c r="R89" s="368"/>
      <c r="S89" s="368"/>
      <c r="T89" s="368"/>
      <c r="U89" s="369"/>
      <c r="V89" s="370"/>
      <c r="W89" s="370"/>
      <c r="Y89" s="526"/>
    </row>
    <row r="90" spans="1:25" s="348" customFormat="1" ht="31.5" thickBot="1">
      <c r="A90" s="337"/>
      <c r="B90" s="430" t="s">
        <v>367</v>
      </c>
      <c r="C90" s="426" t="s">
        <v>98</v>
      </c>
      <c r="D90" s="426" t="s">
        <v>99</v>
      </c>
      <c r="E90" s="427" t="s">
        <v>228</v>
      </c>
      <c r="F90" s="428" t="s">
        <v>1</v>
      </c>
      <c r="G90" s="428" t="s">
        <v>1</v>
      </c>
      <c r="H90" s="428" t="s">
        <v>34</v>
      </c>
      <c r="I90" s="428" t="s">
        <v>2</v>
      </c>
      <c r="J90" s="429" t="s">
        <v>3</v>
      </c>
      <c r="K90" s="429" t="s">
        <v>4</v>
      </c>
      <c r="L90" s="429" t="s">
        <v>5</v>
      </c>
      <c r="M90" s="429" t="s">
        <v>6</v>
      </c>
      <c r="N90" s="429" t="s">
        <v>7</v>
      </c>
      <c r="O90" s="429" t="s">
        <v>8</v>
      </c>
      <c r="P90" s="429" t="s">
        <v>9</v>
      </c>
      <c r="Q90" s="429" t="s">
        <v>10</v>
      </c>
      <c r="R90" s="429" t="s">
        <v>11</v>
      </c>
      <c r="S90" s="429" t="s">
        <v>12</v>
      </c>
      <c r="T90" s="429" t="s">
        <v>13</v>
      </c>
      <c r="U90" s="429" t="s">
        <v>14</v>
      </c>
      <c r="V90" s="429" t="s">
        <v>87</v>
      </c>
      <c r="W90" s="448" t="s">
        <v>125</v>
      </c>
      <c r="Y90" s="527" t="s">
        <v>382</v>
      </c>
    </row>
    <row r="91" spans="1:25" ht="15.75" thickBot="1">
      <c r="A91" s="337">
        <v>56</v>
      </c>
      <c r="B91" s="440" t="s">
        <v>364</v>
      </c>
      <c r="C91" s="349">
        <v>44564</v>
      </c>
      <c r="D91" s="349">
        <v>44925</v>
      </c>
      <c r="E91" s="441">
        <f>DAYS360(C91,D91)+1</f>
        <v>358</v>
      </c>
      <c r="F91" s="350">
        <v>0</v>
      </c>
      <c r="G91" s="350">
        <f>+G46</f>
        <v>2973498.15</v>
      </c>
      <c r="H91" s="350"/>
      <c r="I91" s="350">
        <f>SUM(G91:H91)</f>
        <v>2973498.15</v>
      </c>
      <c r="J91" s="350">
        <f>ROUND(+((G91/'SUPUESTOS GASTOS'!$F$12)*E91),0)</f>
        <v>35483745</v>
      </c>
      <c r="K91" s="350">
        <f>ROUND(+((I91*E91)/'SUPUESTOS GASTOS'!$F$10),0)</f>
        <v>2956979</v>
      </c>
      <c r="L91" s="350">
        <f>+ROUND(((I91/30)*E91)*0.01,-3)</f>
        <v>355000</v>
      </c>
      <c r="M91" s="350">
        <f>+K91</f>
        <v>2956979</v>
      </c>
      <c r="N91" s="350">
        <f>ROUND(+(G91*E91)/720,0)</f>
        <v>1478489</v>
      </c>
      <c r="O91" s="350">
        <f>ROUNDUP((+$J91)*'SUPUESTOS GASTOS'!$F$19,-3)</f>
        <v>4259000</v>
      </c>
      <c r="P91" s="350">
        <f>ROUNDUP((+$J91)*'SUPUESTOS GASTOS'!$F$20,-3)</f>
        <v>3017000</v>
      </c>
      <c r="Q91" s="372">
        <f>ROUNDUP((+$J91)*'SUPUESTOS GASTOS'!$F$23,-3)</f>
        <v>865000</v>
      </c>
      <c r="R91" s="350">
        <f>ROUND((J91*4%)+(N91*4%),-3)</f>
        <v>1478000</v>
      </c>
      <c r="S91" s="350">
        <f>ROUND((J91*2%)+(N91*2%),0-3)</f>
        <v>739000</v>
      </c>
      <c r="T91" s="350">
        <f>ROUND((J91*3%)+(N91*3%),-3)</f>
        <v>1109000</v>
      </c>
      <c r="U91" s="350">
        <f>SUM(J91:T91)</f>
        <v>54698192</v>
      </c>
      <c r="V91" s="442"/>
      <c r="W91" s="443">
        <f>+U91</f>
        <v>54698192</v>
      </c>
      <c r="Y91" s="538">
        <v>0.02436</v>
      </c>
    </row>
    <row r="92" spans="1:25" ht="15.75" thickBot="1">
      <c r="A92" s="337">
        <v>57</v>
      </c>
      <c r="B92" s="385" t="s">
        <v>390</v>
      </c>
      <c r="C92" s="376">
        <v>44564</v>
      </c>
      <c r="D92" s="376">
        <v>44925</v>
      </c>
      <c r="E92" s="386">
        <v>358</v>
      </c>
      <c r="F92" s="377">
        <v>1437474</v>
      </c>
      <c r="G92" s="377">
        <f>+G7</f>
        <v>2378798.1</v>
      </c>
      <c r="H92" s="377">
        <v>0</v>
      </c>
      <c r="I92" s="377">
        <f>SUM(G92:H92)</f>
        <v>2378798.1</v>
      </c>
      <c r="J92" s="377">
        <f>ROUND(+((G92/'SUPUESTOS GASTOS'!$F$12)*E92),0)</f>
        <v>28386991</v>
      </c>
      <c r="K92" s="377">
        <f>ROUND(+((I92*E92)/'SUPUESTOS GASTOS'!$F$10),0)</f>
        <v>2365583</v>
      </c>
      <c r="L92" s="377">
        <f>+ROUND(((I92/30)*E92)*0.01,-3)</f>
        <v>284000</v>
      </c>
      <c r="M92" s="377">
        <f>+K92</f>
        <v>2365583</v>
      </c>
      <c r="N92" s="377">
        <f>ROUND(+(G92*E92)/720,0)</f>
        <v>1182791</v>
      </c>
      <c r="O92" s="377">
        <f>ROUNDUP((+$J92)*'SUPUESTOS GASTOS'!$F$19,-3)</f>
        <v>3407000</v>
      </c>
      <c r="P92" s="377">
        <f>ROUNDUP((+$J92)*'SUPUESTOS GASTOS'!$F$20,-3)</f>
        <v>2413000</v>
      </c>
      <c r="Q92" s="377">
        <f>ROUNDUP((+$J92)*'SUPUESTOS GASTOS'!$F$26,-3)</f>
        <v>297000</v>
      </c>
      <c r="R92" s="377">
        <f>ROUND((J92*4%)+(N92*4%),-3)</f>
        <v>1183000</v>
      </c>
      <c r="S92" s="377">
        <f>ROUND((J92*2%)+(N92*2%),0-3)</f>
        <v>591000</v>
      </c>
      <c r="T92" s="377">
        <f>ROUND((J92*3%)+(N92*3%),-3)</f>
        <v>887000</v>
      </c>
      <c r="U92" s="377">
        <f>ROUND(SUM(J92:T92)+((H92/30)*E92),0)</f>
        <v>43362948</v>
      </c>
      <c r="V92" s="444">
        <v>0</v>
      </c>
      <c r="W92" s="445">
        <f>+V92+U92</f>
        <v>43362948</v>
      </c>
      <c r="Y92" s="532">
        <v>0.01044</v>
      </c>
    </row>
    <row r="93" spans="1:25" s="353" customFormat="1" ht="15.75" thickBot="1">
      <c r="A93" s="337"/>
      <c r="B93" s="436" t="s">
        <v>28</v>
      </c>
      <c r="C93" s="380"/>
      <c r="D93" s="380"/>
      <c r="E93" s="437"/>
      <c r="F93" s="451">
        <f>SUM(F91:F92)</f>
        <v>1437474</v>
      </c>
      <c r="G93" s="451">
        <f>SUM(G91:G92)</f>
        <v>5352296.25</v>
      </c>
      <c r="H93" s="451">
        <f>SUM(H91:H92)</f>
        <v>0</v>
      </c>
      <c r="I93" s="451">
        <f>SUM(I91:I92)</f>
        <v>5352296.25</v>
      </c>
      <c r="J93" s="451">
        <f>SUM(J91:J92)</f>
        <v>63870736</v>
      </c>
      <c r="K93" s="451">
        <f aca="true" t="shared" si="44" ref="K93:W93">SUM(K91:K92)</f>
        <v>5322562</v>
      </c>
      <c r="L93" s="451">
        <f t="shared" si="44"/>
        <v>639000</v>
      </c>
      <c r="M93" s="451">
        <f t="shared" si="44"/>
        <v>5322562</v>
      </c>
      <c r="N93" s="451">
        <f t="shared" si="44"/>
        <v>2661280</v>
      </c>
      <c r="O93" s="451">
        <f t="shared" si="44"/>
        <v>7666000</v>
      </c>
      <c r="P93" s="451">
        <f t="shared" si="44"/>
        <v>5430000</v>
      </c>
      <c r="Q93" s="451">
        <f t="shared" si="44"/>
        <v>1162000</v>
      </c>
      <c r="R93" s="451">
        <f t="shared" si="44"/>
        <v>2661000</v>
      </c>
      <c r="S93" s="451">
        <f t="shared" si="44"/>
        <v>1330000</v>
      </c>
      <c r="T93" s="451">
        <f t="shared" si="44"/>
        <v>1996000</v>
      </c>
      <c r="U93" s="451">
        <f t="shared" si="44"/>
        <v>98061140</v>
      </c>
      <c r="V93" s="451">
        <f t="shared" si="44"/>
        <v>0</v>
      </c>
      <c r="W93" s="454">
        <f t="shared" si="44"/>
        <v>98061140</v>
      </c>
      <c r="Y93" s="537"/>
    </row>
    <row r="94" spans="1:25" s="353" customFormat="1" ht="15.75" thickBot="1">
      <c r="A94" s="337"/>
      <c r="B94" s="341"/>
      <c r="C94" s="365"/>
      <c r="D94" s="366"/>
      <c r="E94" s="366"/>
      <c r="F94" s="366"/>
      <c r="G94" s="366"/>
      <c r="H94" s="366"/>
      <c r="I94" s="366"/>
      <c r="J94" s="366"/>
      <c r="K94" s="366"/>
      <c r="L94" s="366"/>
      <c r="M94" s="366"/>
      <c r="N94" s="366"/>
      <c r="O94" s="367"/>
      <c r="P94" s="367"/>
      <c r="Q94" s="367"/>
      <c r="R94" s="367"/>
      <c r="S94" s="367"/>
      <c r="T94" s="367"/>
      <c r="U94" s="367"/>
      <c r="V94" s="388"/>
      <c r="W94" s="367"/>
      <c r="Y94" s="534"/>
    </row>
    <row r="95" spans="2:25" s="343" customFormat="1" ht="15.75" thickBot="1">
      <c r="B95" s="344"/>
      <c r="C95" s="344"/>
      <c r="D95" s="344"/>
      <c r="E95" s="344"/>
      <c r="F95" s="455" t="s">
        <v>276</v>
      </c>
      <c r="G95" s="696" t="s">
        <v>313</v>
      </c>
      <c r="H95" s="696"/>
      <c r="I95" s="697"/>
      <c r="J95" s="368"/>
      <c r="K95" s="368"/>
      <c r="L95" s="368"/>
      <c r="M95" s="368"/>
      <c r="N95" s="368"/>
      <c r="O95" s="368"/>
      <c r="P95" s="368"/>
      <c r="Q95" s="368"/>
      <c r="R95" s="368"/>
      <c r="S95" s="368"/>
      <c r="T95" s="368"/>
      <c r="U95" s="369"/>
      <c r="V95" s="370"/>
      <c r="W95" s="370"/>
      <c r="Y95" s="526"/>
    </row>
    <row r="96" spans="2:25" s="348" customFormat="1" ht="36" customHeight="1" thickBot="1">
      <c r="B96" s="430" t="s">
        <v>270</v>
      </c>
      <c r="C96" s="426" t="s">
        <v>98</v>
      </c>
      <c r="D96" s="426" t="s">
        <v>99</v>
      </c>
      <c r="E96" s="427" t="s">
        <v>228</v>
      </c>
      <c r="F96" s="428" t="s">
        <v>1</v>
      </c>
      <c r="G96" s="428" t="s">
        <v>1</v>
      </c>
      <c r="H96" s="428" t="s">
        <v>34</v>
      </c>
      <c r="I96" s="428" t="s">
        <v>2</v>
      </c>
      <c r="J96" s="429" t="s">
        <v>3</v>
      </c>
      <c r="K96" s="429" t="s">
        <v>4</v>
      </c>
      <c r="L96" s="429" t="s">
        <v>5</v>
      </c>
      <c r="M96" s="429" t="s">
        <v>6</v>
      </c>
      <c r="N96" s="429" t="s">
        <v>7</v>
      </c>
      <c r="O96" s="429" t="s">
        <v>8</v>
      </c>
      <c r="P96" s="429" t="s">
        <v>9</v>
      </c>
      <c r="Q96" s="429" t="s">
        <v>10</v>
      </c>
      <c r="R96" s="429" t="s">
        <v>11</v>
      </c>
      <c r="S96" s="429" t="s">
        <v>12</v>
      </c>
      <c r="T96" s="429" t="s">
        <v>13</v>
      </c>
      <c r="U96" s="429" t="s">
        <v>14</v>
      </c>
      <c r="V96" s="429" t="s">
        <v>87</v>
      </c>
      <c r="W96" s="448" t="s">
        <v>125</v>
      </c>
      <c r="Y96" s="527" t="s">
        <v>382</v>
      </c>
    </row>
    <row r="97" spans="1:25" ht="15">
      <c r="A97" s="337">
        <v>58</v>
      </c>
      <c r="B97" s="440" t="s">
        <v>261</v>
      </c>
      <c r="C97" s="349">
        <v>44564</v>
      </c>
      <c r="D97" s="349">
        <v>44925</v>
      </c>
      <c r="E97" s="441">
        <f>DAYS360(C97,D97)+1</f>
        <v>358</v>
      </c>
      <c r="F97" s="350">
        <v>0</v>
      </c>
      <c r="G97" s="350">
        <f>+G13</f>
        <v>4638656.4</v>
      </c>
      <c r="H97" s="350"/>
      <c r="I97" s="350">
        <f>SUM(G97:H97)</f>
        <v>4638656.4</v>
      </c>
      <c r="J97" s="350">
        <f>ROUND(+((G97/'SUPUESTOS GASTOS'!$F$12)*E97),0)</f>
        <v>55354633</v>
      </c>
      <c r="K97" s="350">
        <f>ROUND(+((I97*E97)/'SUPUESTOS GASTOS'!$F$10),0)</f>
        <v>4612886</v>
      </c>
      <c r="L97" s="350">
        <f>+ROUND(((I97/30)*E97)*0.01,-3)</f>
        <v>554000</v>
      </c>
      <c r="M97" s="350">
        <f>+K97</f>
        <v>4612886</v>
      </c>
      <c r="N97" s="350">
        <f>ROUND(+(G97*E97)/720,0)</f>
        <v>2306443</v>
      </c>
      <c r="O97" s="350">
        <f>ROUNDUP((+$J97)*'SUPUESTOS GASTOS'!$F$19,-3)</f>
        <v>6643000</v>
      </c>
      <c r="P97" s="350">
        <f>ROUNDUP((+$J97)*'SUPUESTOS GASTOS'!$F$20,-3)</f>
        <v>4706000</v>
      </c>
      <c r="Q97" s="372">
        <f>ROUNDUP((+$J97)*'SUPUESTOS GASTOS'!$F$23,-3)</f>
        <v>1349000</v>
      </c>
      <c r="R97" s="350">
        <f>ROUND((J97*4%)+(N97*4%),-3)</f>
        <v>2306000</v>
      </c>
      <c r="S97" s="350">
        <f>ROUND((J97*2%)+(N97*2%),0-3)</f>
        <v>1153000</v>
      </c>
      <c r="T97" s="350">
        <f>ROUND((J97*3%)+(N97*3%),-3)</f>
        <v>1730000</v>
      </c>
      <c r="U97" s="350">
        <f>SUM(J97:T97)</f>
        <v>85327848</v>
      </c>
      <c r="V97" s="350"/>
      <c r="W97" s="443">
        <f>+V97+U97</f>
        <v>85327848</v>
      </c>
      <c r="Y97" s="530">
        <v>0.02436</v>
      </c>
    </row>
    <row r="98" spans="1:25" ht="15">
      <c r="A98" s="337">
        <v>59</v>
      </c>
      <c r="B98" s="383" t="s">
        <v>365</v>
      </c>
      <c r="C98" s="351">
        <v>44593</v>
      </c>
      <c r="D98" s="351">
        <v>44925</v>
      </c>
      <c r="E98" s="384">
        <f>DAYS360(C98,D98)+1</f>
        <v>330</v>
      </c>
      <c r="F98" s="352">
        <v>0</v>
      </c>
      <c r="G98" s="352">
        <f>+G24</f>
        <v>3894532.95</v>
      </c>
      <c r="H98" s="352"/>
      <c r="I98" s="352">
        <f>SUM(G98:H98)</f>
        <v>3894532.95</v>
      </c>
      <c r="J98" s="352">
        <f>ROUND(+((G98/'SUPUESTOS GASTOS'!$F$12)*E98),0)</f>
        <v>42839862</v>
      </c>
      <c r="K98" s="352">
        <f>ROUND(+((I98*E98)/'SUPUESTOS GASTOS'!$F$10),0)</f>
        <v>3569989</v>
      </c>
      <c r="L98" s="352">
        <f>+ROUND(((I98/30)*E98)*0.01,-3)</f>
        <v>428000</v>
      </c>
      <c r="M98" s="352">
        <f>+K98</f>
        <v>3569989</v>
      </c>
      <c r="N98" s="352">
        <f>ROUND(+(G98*E98)/720,0)</f>
        <v>1784994</v>
      </c>
      <c r="O98" s="352">
        <f>ROUNDUP((+$J98)*'SUPUESTOS GASTOS'!$F$19,-3)</f>
        <v>5141000</v>
      </c>
      <c r="P98" s="352">
        <f>ROUNDUP((+$J98)*'SUPUESTOS GASTOS'!$F$20,-3)</f>
        <v>3642000</v>
      </c>
      <c r="Q98" s="373">
        <f>ROUNDUP((+$J98)*'SUPUESTOS GASTOS'!$F$23,-3)</f>
        <v>1044000</v>
      </c>
      <c r="R98" s="352">
        <f>ROUND((J98*4%)+(N98*4%),-3)</f>
        <v>1785000</v>
      </c>
      <c r="S98" s="352">
        <f>ROUND((J98*2%)+(N98*2%),0-3)</f>
        <v>892000</v>
      </c>
      <c r="T98" s="352">
        <f>ROUND((J98*3%)+(N98*3%),-3)</f>
        <v>1339000</v>
      </c>
      <c r="U98" s="352">
        <f>SUM(J98:T98)</f>
        <v>66035834</v>
      </c>
      <c r="V98" s="352"/>
      <c r="W98" s="431">
        <f>+V98+U98</f>
        <v>66035834</v>
      </c>
      <c r="Y98" s="531">
        <v>0.02436</v>
      </c>
    </row>
    <row r="99" spans="1:25" ht="15.75" thickBot="1">
      <c r="A99" s="337">
        <v>60</v>
      </c>
      <c r="B99" s="385" t="s">
        <v>366</v>
      </c>
      <c r="C99" s="376">
        <v>44564</v>
      </c>
      <c r="D99" s="376">
        <v>44925</v>
      </c>
      <c r="E99" s="386">
        <f>DAYS360(C99,D99)+1</f>
        <v>358</v>
      </c>
      <c r="F99" s="377">
        <v>0</v>
      </c>
      <c r="G99" s="377">
        <f>+G7</f>
        <v>2378798.1</v>
      </c>
      <c r="H99" s="377"/>
      <c r="I99" s="377">
        <f>SUM(G99:H99)</f>
        <v>2378798.1</v>
      </c>
      <c r="J99" s="377">
        <f>ROUND(+((G99/'SUPUESTOS GASTOS'!$F$12)*E99),0)</f>
        <v>28386991</v>
      </c>
      <c r="K99" s="377">
        <f>ROUND(+((I99*E99)/'SUPUESTOS GASTOS'!$F$10),0)</f>
        <v>2365583</v>
      </c>
      <c r="L99" s="377">
        <f>+ROUND(((I99/30)*E99)*0.01,-3)</f>
        <v>284000</v>
      </c>
      <c r="M99" s="377">
        <f>+K99</f>
        <v>2365583</v>
      </c>
      <c r="N99" s="377">
        <f>ROUND(+(G99*E99)/720,0)</f>
        <v>1182791</v>
      </c>
      <c r="O99" s="377">
        <f>ROUNDUP((+$J99)*'SUPUESTOS GASTOS'!$F$19,-3)</f>
        <v>3407000</v>
      </c>
      <c r="P99" s="377">
        <f>ROUNDUP((+$J99)*'SUPUESTOS GASTOS'!$F$20,-3)</f>
        <v>2413000</v>
      </c>
      <c r="Q99" s="453">
        <f>ROUNDUP((+$J99)*'SUPUESTOS GASTOS'!$F$23,-3)</f>
        <v>692000</v>
      </c>
      <c r="R99" s="377">
        <f>ROUND((J99*4%)+(N99*4%),-3)</f>
        <v>1183000</v>
      </c>
      <c r="S99" s="377">
        <f>ROUND((J99*2%)+(N99*2%),0-3)</f>
        <v>591000</v>
      </c>
      <c r="T99" s="377">
        <f>ROUND((J99*3%)+(N99*3%),-3)</f>
        <v>887000</v>
      </c>
      <c r="U99" s="377">
        <f>SUM(J99:T99)</f>
        <v>43757948</v>
      </c>
      <c r="V99" s="377"/>
      <c r="W99" s="445">
        <f>+V99+U99</f>
        <v>43757948</v>
      </c>
      <c r="Y99" s="532">
        <v>0.02436</v>
      </c>
    </row>
    <row r="100" spans="1:25" s="353" customFormat="1" ht="15.75" thickBot="1">
      <c r="A100" s="337"/>
      <c r="B100" s="436" t="s">
        <v>28</v>
      </c>
      <c r="C100" s="380"/>
      <c r="D100" s="380"/>
      <c r="E100" s="437"/>
      <c r="F100" s="451">
        <f aca="true" t="shared" si="45" ref="F100:W100">SUM(F97:F99)</f>
        <v>0</v>
      </c>
      <c r="G100" s="451">
        <f t="shared" si="45"/>
        <v>10911987.450000001</v>
      </c>
      <c r="H100" s="381">
        <f t="shared" si="45"/>
        <v>0</v>
      </c>
      <c r="I100" s="451">
        <f t="shared" si="45"/>
        <v>10911987.450000001</v>
      </c>
      <c r="J100" s="451">
        <f t="shared" si="45"/>
        <v>126581486</v>
      </c>
      <c r="K100" s="451">
        <f t="shared" si="45"/>
        <v>10548458</v>
      </c>
      <c r="L100" s="451">
        <f t="shared" si="45"/>
        <v>1266000</v>
      </c>
      <c r="M100" s="451">
        <f t="shared" si="45"/>
        <v>10548458</v>
      </c>
      <c r="N100" s="451">
        <f t="shared" si="45"/>
        <v>5274228</v>
      </c>
      <c r="O100" s="452">
        <f t="shared" si="45"/>
        <v>15191000</v>
      </c>
      <c r="P100" s="452">
        <f t="shared" si="45"/>
        <v>10761000</v>
      </c>
      <c r="Q100" s="452">
        <f t="shared" si="45"/>
        <v>3085000</v>
      </c>
      <c r="R100" s="452">
        <f t="shared" si="45"/>
        <v>5274000</v>
      </c>
      <c r="S100" s="452">
        <f t="shared" si="45"/>
        <v>2636000</v>
      </c>
      <c r="T100" s="452">
        <f t="shared" si="45"/>
        <v>3956000</v>
      </c>
      <c r="U100" s="452">
        <f t="shared" si="45"/>
        <v>195121630</v>
      </c>
      <c r="V100" s="438">
        <f t="shared" si="45"/>
        <v>0</v>
      </c>
      <c r="W100" s="439">
        <f t="shared" si="45"/>
        <v>195121630</v>
      </c>
      <c r="Y100" s="536"/>
    </row>
    <row r="101" spans="2:25" ht="15.75" thickBot="1">
      <c r="B101" s="337"/>
      <c r="C101" s="337"/>
      <c r="D101" s="337"/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  <c r="T101" s="337"/>
      <c r="U101" s="337"/>
      <c r="V101" s="337"/>
      <c r="W101" s="337"/>
      <c r="Y101" s="332"/>
    </row>
    <row r="102" spans="1:25" s="353" customFormat="1" ht="15.75" thickBot="1">
      <c r="A102" s="337"/>
      <c r="B102" s="693" t="s">
        <v>146</v>
      </c>
      <c r="C102" s="694"/>
      <c r="D102" s="694"/>
      <c r="E102" s="695"/>
      <c r="F102" s="389">
        <f>+F9+F29</f>
        <v>32011308</v>
      </c>
      <c r="G102" s="389">
        <f>+G9+G29</f>
        <v>42757957.20000001</v>
      </c>
      <c r="H102" s="389">
        <f>(+H27/30*E92)*2</f>
        <v>2667737.2399999998</v>
      </c>
      <c r="I102" s="389">
        <f aca="true" t="shared" si="46" ref="I102:W102">+I9+I29</f>
        <v>42981510.60000001</v>
      </c>
      <c r="J102" s="389">
        <f t="shared" si="46"/>
        <v>504393646</v>
      </c>
      <c r="K102" s="389">
        <f t="shared" si="46"/>
        <v>42255122</v>
      </c>
      <c r="L102" s="389">
        <f t="shared" si="46"/>
        <v>5071000</v>
      </c>
      <c r="M102" s="389">
        <f t="shared" si="46"/>
        <v>42255122</v>
      </c>
      <c r="N102" s="389">
        <f t="shared" si="46"/>
        <v>21016397</v>
      </c>
      <c r="O102" s="389">
        <f t="shared" si="46"/>
        <v>60532000</v>
      </c>
      <c r="P102" s="389">
        <f t="shared" si="46"/>
        <v>42876000</v>
      </c>
      <c r="Q102" s="389">
        <f t="shared" si="46"/>
        <v>16118000</v>
      </c>
      <c r="R102" s="389">
        <f t="shared" si="46"/>
        <v>21019000</v>
      </c>
      <c r="S102" s="389">
        <f t="shared" si="46"/>
        <v>10503000</v>
      </c>
      <c r="T102" s="389">
        <f t="shared" si="46"/>
        <v>15762000</v>
      </c>
      <c r="U102" s="389">
        <f t="shared" si="46"/>
        <v>784469025</v>
      </c>
      <c r="V102" s="389">
        <f t="shared" si="46"/>
        <v>3000000</v>
      </c>
      <c r="W102" s="354">
        <f t="shared" si="46"/>
        <v>787469025</v>
      </c>
      <c r="X102" s="390"/>
      <c r="Y102" s="332"/>
    </row>
    <row r="103" spans="1:25" s="353" customFormat="1" ht="15.75" thickBot="1">
      <c r="A103" s="337"/>
      <c r="B103" s="693" t="s">
        <v>147</v>
      </c>
      <c r="C103" s="694"/>
      <c r="D103" s="694"/>
      <c r="E103" s="695"/>
      <c r="F103" s="389">
        <f>+F39+F71+F80+F87+F93+F100</f>
        <v>79665436</v>
      </c>
      <c r="G103" s="389">
        <f>+G39+G71+G80+G87+G93+G100</f>
        <v>111813369.15000002</v>
      </c>
      <c r="H103" s="389">
        <f>+H71/30*E44</f>
        <v>1333868.6199999999</v>
      </c>
      <c r="I103" s="389">
        <f>+I39+I71+I80+I87+I93+I100</f>
        <v>111925145.85000002</v>
      </c>
      <c r="J103" s="389">
        <f>+J39+J71+J80+J87+J93+J100</f>
        <v>1302189340</v>
      </c>
      <c r="K103" s="389">
        <f aca="true" t="shared" si="47" ref="K103:W103">+K39+K71+K80+K87+K93+K100</f>
        <v>107672986</v>
      </c>
      <c r="L103" s="389">
        <f t="shared" si="47"/>
        <v>12924000</v>
      </c>
      <c r="M103" s="389">
        <f t="shared" si="47"/>
        <v>107672986</v>
      </c>
      <c r="N103" s="389">
        <f t="shared" si="47"/>
        <v>53780909</v>
      </c>
      <c r="O103" s="389">
        <f t="shared" si="47"/>
        <v>154906000</v>
      </c>
      <c r="P103" s="389">
        <f t="shared" si="47"/>
        <v>111158000</v>
      </c>
      <c r="Q103" s="389">
        <f t="shared" si="47"/>
        <v>45382000</v>
      </c>
      <c r="R103" s="389">
        <f t="shared" si="47"/>
        <v>53772000</v>
      </c>
      <c r="S103" s="389">
        <f t="shared" si="47"/>
        <v>26895000</v>
      </c>
      <c r="T103" s="389">
        <f t="shared" si="47"/>
        <v>40338000</v>
      </c>
      <c r="U103" s="389">
        <f t="shared" si="47"/>
        <v>2018025090</v>
      </c>
      <c r="V103" s="389">
        <f t="shared" si="47"/>
        <v>1500000</v>
      </c>
      <c r="W103" s="354">
        <f t="shared" si="47"/>
        <v>2019525090</v>
      </c>
      <c r="X103" s="390"/>
      <c r="Y103" s="332"/>
    </row>
    <row r="104" spans="1:25" s="353" customFormat="1" ht="15.75" thickBot="1">
      <c r="A104" s="337"/>
      <c r="B104" s="693" t="s">
        <v>148</v>
      </c>
      <c r="C104" s="694"/>
      <c r="D104" s="694"/>
      <c r="E104" s="695"/>
      <c r="F104" s="389">
        <f>+F102+F103</f>
        <v>111676744</v>
      </c>
      <c r="G104" s="389">
        <f>+G102+G103</f>
        <v>154571326.35000002</v>
      </c>
      <c r="H104" s="389">
        <f aca="true" t="shared" si="48" ref="H104:V104">+H102+H103</f>
        <v>4001605.8599999994</v>
      </c>
      <c r="I104" s="389">
        <f t="shared" si="48"/>
        <v>154906656.45000005</v>
      </c>
      <c r="J104" s="389">
        <f>+J102+J103</f>
        <v>1806582986</v>
      </c>
      <c r="K104" s="389">
        <f>+K102+K103</f>
        <v>149928108</v>
      </c>
      <c r="L104" s="389">
        <f t="shared" si="48"/>
        <v>17995000</v>
      </c>
      <c r="M104" s="389">
        <f t="shared" si="48"/>
        <v>149928108</v>
      </c>
      <c r="N104" s="389">
        <f t="shared" si="48"/>
        <v>74797306</v>
      </c>
      <c r="O104" s="389">
        <f t="shared" si="48"/>
        <v>215438000</v>
      </c>
      <c r="P104" s="389">
        <f t="shared" si="48"/>
        <v>154034000</v>
      </c>
      <c r="Q104" s="389">
        <f t="shared" si="48"/>
        <v>61500000</v>
      </c>
      <c r="R104" s="389">
        <f t="shared" si="48"/>
        <v>74791000</v>
      </c>
      <c r="S104" s="389">
        <f t="shared" si="48"/>
        <v>37398000</v>
      </c>
      <c r="T104" s="389">
        <f t="shared" si="48"/>
        <v>56100000</v>
      </c>
      <c r="U104" s="389">
        <f t="shared" si="48"/>
        <v>2802494115</v>
      </c>
      <c r="V104" s="389">
        <f t="shared" si="48"/>
        <v>4500000</v>
      </c>
      <c r="W104" s="354">
        <f>+W102+W103</f>
        <v>2806994115</v>
      </c>
      <c r="Y104" s="332"/>
    </row>
    <row r="105" spans="6:25" ht="15">
      <c r="F105" s="391"/>
      <c r="Y105" s="332"/>
    </row>
    <row r="106" spans="6:25" ht="15">
      <c r="F106" s="391"/>
      <c r="G106" s="391"/>
      <c r="H106" s="391"/>
      <c r="I106" s="391"/>
      <c r="J106" s="391"/>
      <c r="K106" s="391"/>
      <c r="L106" s="391"/>
      <c r="M106" s="391"/>
      <c r="N106" s="391"/>
      <c r="O106" s="391"/>
      <c r="P106" s="391"/>
      <c r="Q106" s="391"/>
      <c r="R106" s="391"/>
      <c r="S106" s="391"/>
      <c r="T106" s="391"/>
      <c r="U106" s="391"/>
      <c r="V106" s="391"/>
      <c r="W106" s="391"/>
      <c r="Y106" s="332"/>
    </row>
    <row r="107" spans="7:25" ht="15">
      <c r="G107" s="393"/>
      <c r="O107" s="340"/>
      <c r="P107" s="340"/>
      <c r="Q107" s="340"/>
      <c r="R107" s="340"/>
      <c r="S107" s="340"/>
      <c r="T107" s="340"/>
      <c r="U107" s="340"/>
      <c r="V107" s="340"/>
      <c r="W107" s="340"/>
      <c r="Y107" s="332"/>
    </row>
    <row r="108" ht="15">
      <c r="G108" s="393"/>
    </row>
    <row r="109" ht="15">
      <c r="F109" s="481"/>
    </row>
    <row r="110" ht="15">
      <c r="G110" s="393"/>
    </row>
  </sheetData>
  <sheetProtection/>
  <autoFilter ref="B1:W104"/>
  <mergeCells count="13">
    <mergeCell ref="B2:W2"/>
    <mergeCell ref="B3:W3"/>
    <mergeCell ref="G11:I11"/>
    <mergeCell ref="G5:I5"/>
    <mergeCell ref="G33:I33"/>
    <mergeCell ref="B102:E102"/>
    <mergeCell ref="B103:E103"/>
    <mergeCell ref="B104:E104"/>
    <mergeCell ref="G41:I41"/>
    <mergeCell ref="G83:I83"/>
    <mergeCell ref="G75:I75"/>
    <mergeCell ref="G95:I95"/>
    <mergeCell ref="G89:I89"/>
  </mergeCells>
  <printOptions/>
  <pageMargins left="0.1968503937007874" right="0.1968503937007874" top="0.5905511811023623" bottom="0.3937007874015748" header="0.31496062992125984" footer="0.31496062992125984"/>
  <pageSetup horizontalDpi="1200" verticalDpi="1200" orientation="landscape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Y110"/>
  <sheetViews>
    <sheetView zoomScale="90" zoomScaleNormal="90" zoomScalePageLayoutView="0" workbookViewId="0" topLeftCell="A40">
      <pane xSplit="2" topLeftCell="G1" activePane="topRight" state="frozen"/>
      <selection pane="topLeft" activeCell="A1" sqref="A1"/>
      <selection pane="topRight" activeCell="H30" sqref="H30"/>
    </sheetView>
  </sheetViews>
  <sheetFormatPr defaultColWidth="11.421875" defaultRowHeight="15"/>
  <cols>
    <col min="1" max="1" width="3.28125" style="337" bestFit="1" customWidth="1"/>
    <col min="2" max="2" width="32.7109375" style="338" customWidth="1"/>
    <col min="3" max="3" width="11.140625" style="338" customWidth="1"/>
    <col min="4" max="4" width="14.421875" style="338" customWidth="1"/>
    <col min="5" max="5" width="7.140625" style="339" customWidth="1"/>
    <col min="6" max="6" width="14.28125" style="338" customWidth="1"/>
    <col min="7" max="7" width="14.8515625" style="338" customWidth="1"/>
    <col min="8" max="8" width="13.7109375" style="340" customWidth="1"/>
    <col min="9" max="9" width="14.421875" style="340" customWidth="1"/>
    <col min="10" max="10" width="15.421875" style="340" customWidth="1"/>
    <col min="11" max="11" width="15.140625" style="340" customWidth="1"/>
    <col min="12" max="12" width="13.8515625" style="340" customWidth="1"/>
    <col min="13" max="13" width="16.140625" style="340" customWidth="1"/>
    <col min="14" max="14" width="15.421875" style="340" customWidth="1"/>
    <col min="15" max="15" width="15.421875" style="392" customWidth="1"/>
    <col min="16" max="16" width="14.8515625" style="392" customWidth="1"/>
    <col min="17" max="17" width="13.7109375" style="392" customWidth="1"/>
    <col min="18" max="18" width="12.7109375" style="392" customWidth="1"/>
    <col min="19" max="19" width="13.8515625" style="392" customWidth="1"/>
    <col min="20" max="20" width="15.28125" style="392" customWidth="1"/>
    <col min="21" max="21" width="17.421875" style="392" customWidth="1"/>
    <col min="22" max="22" width="13.421875" style="392" customWidth="1"/>
    <col min="23" max="23" width="17.00390625" style="392" customWidth="1"/>
    <col min="24" max="24" width="12.00390625" style="337" customWidth="1"/>
    <col min="25" max="25" width="12.7109375" style="529" hidden="1" customWidth="1"/>
    <col min="26" max="236" width="11.421875" style="337" customWidth="1"/>
    <col min="237" max="237" width="69.00390625" style="337" bestFit="1" customWidth="1"/>
    <col min="238" max="238" width="26.140625" style="337" bestFit="1" customWidth="1"/>
    <col min="239" max="239" width="15.8515625" style="337" bestFit="1" customWidth="1"/>
    <col min="240" max="16384" width="11.421875" style="337" customWidth="1"/>
  </cols>
  <sheetData>
    <row r="1" spans="15:25" ht="15">
      <c r="O1" s="340"/>
      <c r="P1" s="340"/>
      <c r="Q1" s="340"/>
      <c r="R1" s="340"/>
      <c r="S1" s="340"/>
      <c r="T1" s="340"/>
      <c r="U1" s="340"/>
      <c r="V1" s="340"/>
      <c r="W1" s="340"/>
      <c r="Y1" s="528"/>
    </row>
    <row r="2" spans="2:23" ht="15">
      <c r="B2" s="698" t="s">
        <v>33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</row>
    <row r="3" spans="2:23" ht="15">
      <c r="B3" s="698" t="s">
        <v>312</v>
      </c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</row>
    <row r="4" spans="2:25" ht="15.75" thickBot="1">
      <c r="B4" s="341" t="s">
        <v>383</v>
      </c>
      <c r="C4" s="341"/>
      <c r="D4" s="341"/>
      <c r="E4" s="341"/>
      <c r="F4" s="341"/>
      <c r="G4" s="341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Y4" s="525"/>
    </row>
    <row r="5" spans="2:25" s="343" customFormat="1" ht="15.75" thickBot="1">
      <c r="B5" s="344"/>
      <c r="C5" s="344"/>
      <c r="D5" s="344"/>
      <c r="E5" s="344"/>
      <c r="F5" s="455" t="s">
        <v>276</v>
      </c>
      <c r="G5" s="696" t="s">
        <v>313</v>
      </c>
      <c r="H5" s="696"/>
      <c r="I5" s="697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6"/>
      <c r="V5" s="347"/>
      <c r="W5" s="347"/>
      <c r="Y5" s="526"/>
    </row>
    <row r="6" spans="2:25" s="348" customFormat="1" ht="31.5" thickBot="1">
      <c r="B6" s="430" t="s">
        <v>21</v>
      </c>
      <c r="C6" s="426" t="s">
        <v>98</v>
      </c>
      <c r="D6" s="426" t="s">
        <v>99</v>
      </c>
      <c r="E6" s="427" t="s">
        <v>228</v>
      </c>
      <c r="F6" s="432" t="s">
        <v>1</v>
      </c>
      <c r="G6" s="432" t="s">
        <v>1</v>
      </c>
      <c r="H6" s="433" t="s">
        <v>34</v>
      </c>
      <c r="I6" s="433" t="s">
        <v>2</v>
      </c>
      <c r="J6" s="434" t="s">
        <v>3</v>
      </c>
      <c r="K6" s="434" t="s">
        <v>4</v>
      </c>
      <c r="L6" s="434" t="s">
        <v>5</v>
      </c>
      <c r="M6" s="434" t="s">
        <v>6</v>
      </c>
      <c r="N6" s="434" t="s">
        <v>7</v>
      </c>
      <c r="O6" s="434" t="s">
        <v>8</v>
      </c>
      <c r="P6" s="434" t="s">
        <v>9</v>
      </c>
      <c r="Q6" s="434" t="s">
        <v>10</v>
      </c>
      <c r="R6" s="434" t="s">
        <v>11</v>
      </c>
      <c r="S6" s="434" t="s">
        <v>12</v>
      </c>
      <c r="T6" s="434" t="s">
        <v>13</v>
      </c>
      <c r="U6" s="434" t="s">
        <v>14</v>
      </c>
      <c r="V6" s="434" t="s">
        <v>87</v>
      </c>
      <c r="W6" s="435" t="s">
        <v>125</v>
      </c>
      <c r="Y6" s="527" t="s">
        <v>382</v>
      </c>
    </row>
    <row r="7" spans="1:25" ht="15">
      <c r="A7" s="337">
        <v>1</v>
      </c>
      <c r="B7" s="440" t="s">
        <v>384</v>
      </c>
      <c r="C7" s="349">
        <v>44564</v>
      </c>
      <c r="D7" s="349">
        <v>44651</v>
      </c>
      <c r="E7" s="441">
        <f>DAYS360(C7,D7)+1</f>
        <v>89</v>
      </c>
      <c r="F7" s="350">
        <v>2265522</v>
      </c>
      <c r="G7" s="350">
        <f>+F7*(1+'SUPUESTOS GASTOS'!$F$6)</f>
        <v>2378798.1</v>
      </c>
      <c r="H7" s="350"/>
      <c r="I7" s="350">
        <f>SUM(G7:H7)</f>
        <v>2378798.1</v>
      </c>
      <c r="J7" s="350">
        <f>ROUND(+((G7/'SUPUESTOS GASTOS'!$F$12)*E7),0)</f>
        <v>7057101</v>
      </c>
      <c r="K7" s="350">
        <f>ROUND(+((I7*E7)/'SUPUESTOS GASTOS'!$F$10),0)</f>
        <v>588092</v>
      </c>
      <c r="L7" s="350">
        <f>((I7*12%)*8%)</f>
        <v>22836.461760000002</v>
      </c>
      <c r="M7" s="350">
        <f>+K7</f>
        <v>588092</v>
      </c>
      <c r="N7" s="350">
        <f>ROUND(+(G7*E7)/720,0)</f>
        <v>294046</v>
      </c>
      <c r="O7" s="350">
        <f>ROUNDUP((+$J7)*'SUPUESTOS GASTOS'!$F$19,-3)</f>
        <v>847000</v>
      </c>
      <c r="P7" s="350">
        <f>ROUNDUP((+$J7)*'SUPUESTOS GASTOS'!$F$20,-3)</f>
        <v>600000</v>
      </c>
      <c r="Q7" s="350">
        <f>ROUNDUP((+$J7)*'SUPUESTOS GASTOS'!$F$26,-3)</f>
        <v>74000</v>
      </c>
      <c r="R7" s="350">
        <f>ROUND((J7*4%),3)</f>
        <v>282284.04</v>
      </c>
      <c r="S7" s="350">
        <f>ROUND((J7*2%),0+3)</f>
        <v>141142.02</v>
      </c>
      <c r="T7" s="350">
        <f>ROUND((J7*3%),3)</f>
        <v>211713.03</v>
      </c>
      <c r="U7" s="350">
        <f>SUM(J7:T7)</f>
        <v>10706306.551759997</v>
      </c>
      <c r="V7" s="442"/>
      <c r="W7" s="443">
        <f>+V7+U7</f>
        <v>10706306.551759997</v>
      </c>
      <c r="Y7" s="530">
        <v>0.01044</v>
      </c>
    </row>
    <row r="8" spans="1:25" ht="15.75" thickBot="1">
      <c r="A8" s="337">
        <v>2</v>
      </c>
      <c r="B8" s="556" t="s">
        <v>384</v>
      </c>
      <c r="C8" s="540">
        <v>44564</v>
      </c>
      <c r="D8" s="540">
        <v>44651</v>
      </c>
      <c r="E8" s="541">
        <f>DAYS360(C8,D8)+1</f>
        <v>89</v>
      </c>
      <c r="F8" s="542">
        <v>0</v>
      </c>
      <c r="G8" s="542">
        <f>+G7</f>
        <v>2378798.1</v>
      </c>
      <c r="H8" s="542">
        <v>0</v>
      </c>
      <c r="I8" s="542">
        <f>SUM(G8:H8)</f>
        <v>2378798.1</v>
      </c>
      <c r="J8" s="542">
        <f>ROUND(+((G8/'SUPUESTOS GASTOS'!$F$12)*E8),0)</f>
        <v>7057101</v>
      </c>
      <c r="K8" s="542">
        <f>ROUND(+((I8*E8)/'SUPUESTOS GASTOS'!$F$10),0)</f>
        <v>588092</v>
      </c>
      <c r="L8" s="542">
        <f>((I8*12%)*8%)</f>
        <v>22836.461760000002</v>
      </c>
      <c r="M8" s="542">
        <f>+K8</f>
        <v>588092</v>
      </c>
      <c r="N8" s="542">
        <f>ROUND(+(G8*E8)/720,0)</f>
        <v>294046</v>
      </c>
      <c r="O8" s="542">
        <f>ROUNDUP((+$J8)*'SUPUESTOS GASTOS'!$F$19,-3)</f>
        <v>847000</v>
      </c>
      <c r="P8" s="542">
        <f>ROUNDUP((+$J8)*'SUPUESTOS GASTOS'!$F$20,-3)</f>
        <v>600000</v>
      </c>
      <c r="Q8" s="542">
        <f>ROUNDUP((+$J8)*'SUPUESTOS GASTOS'!$F$26,-3)</f>
        <v>74000</v>
      </c>
      <c r="R8" s="542">
        <f>ROUND((J8*4%),3)</f>
        <v>282284.04</v>
      </c>
      <c r="S8" s="542">
        <f>ROUND((J8*2%),0+3)</f>
        <v>141142.02</v>
      </c>
      <c r="T8" s="542">
        <f>ROUND((J8*3%),3)</f>
        <v>211713.03</v>
      </c>
      <c r="U8" s="542">
        <f>SUM(J8:T8)</f>
        <v>10706306.551759997</v>
      </c>
      <c r="V8" s="557">
        <v>0</v>
      </c>
      <c r="W8" s="543">
        <f>+V8+U8</f>
        <v>10706306.551759997</v>
      </c>
      <c r="Y8" s="531">
        <v>0.01044</v>
      </c>
    </row>
    <row r="9" spans="2:25" s="353" customFormat="1" ht="15.75" thickBot="1">
      <c r="B9" s="544" t="s">
        <v>28</v>
      </c>
      <c r="C9" s="545"/>
      <c r="D9" s="545"/>
      <c r="E9" s="546"/>
      <c r="F9" s="547">
        <f>SUM(F7:F8)</f>
        <v>2265522</v>
      </c>
      <c r="G9" s="547">
        <f aca="true" t="shared" si="0" ref="G9:W9">SUM(G7:G8)</f>
        <v>4757596.2</v>
      </c>
      <c r="H9" s="547">
        <f t="shared" si="0"/>
        <v>0</v>
      </c>
      <c r="I9" s="547">
        <f t="shared" si="0"/>
        <v>4757596.2</v>
      </c>
      <c r="J9" s="547">
        <f t="shared" si="0"/>
        <v>14114202</v>
      </c>
      <c r="K9" s="547">
        <f t="shared" si="0"/>
        <v>1176184</v>
      </c>
      <c r="L9" s="547">
        <f t="shared" si="0"/>
        <v>45672.923520000004</v>
      </c>
      <c r="M9" s="547">
        <f t="shared" si="0"/>
        <v>1176184</v>
      </c>
      <c r="N9" s="547">
        <f t="shared" si="0"/>
        <v>588092</v>
      </c>
      <c r="O9" s="547">
        <f t="shared" si="0"/>
        <v>1694000</v>
      </c>
      <c r="P9" s="547">
        <f t="shared" si="0"/>
        <v>1200000</v>
      </c>
      <c r="Q9" s="547">
        <f t="shared" si="0"/>
        <v>148000</v>
      </c>
      <c r="R9" s="547">
        <f t="shared" si="0"/>
        <v>564568.08</v>
      </c>
      <c r="S9" s="547">
        <f t="shared" si="0"/>
        <v>282284.04</v>
      </c>
      <c r="T9" s="547">
        <f t="shared" si="0"/>
        <v>423426.06</v>
      </c>
      <c r="U9" s="547">
        <f t="shared" si="0"/>
        <v>21412613.103519995</v>
      </c>
      <c r="V9" s="558">
        <f t="shared" si="0"/>
        <v>0</v>
      </c>
      <c r="W9" s="559">
        <f t="shared" si="0"/>
        <v>21412613.103519995</v>
      </c>
      <c r="Y9" s="533"/>
    </row>
    <row r="10" spans="2:25" ht="15.75" thickBot="1">
      <c r="B10" s="341"/>
      <c r="C10" s="341"/>
      <c r="D10" s="341"/>
      <c r="E10" s="341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6"/>
      <c r="W10" s="356"/>
      <c r="Y10" s="525"/>
    </row>
    <row r="11" spans="2:25" s="343" customFormat="1" ht="15.75" thickBot="1">
      <c r="B11" s="344"/>
      <c r="C11" s="344"/>
      <c r="D11" s="344"/>
      <c r="E11" s="344"/>
      <c r="F11" s="455" t="s">
        <v>276</v>
      </c>
      <c r="G11" s="696" t="s">
        <v>313</v>
      </c>
      <c r="H11" s="696"/>
      <c r="I11" s="697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9"/>
      <c r="V11" s="370"/>
      <c r="W11" s="370"/>
      <c r="Y11" s="526"/>
    </row>
    <row r="12" spans="2:25" s="348" customFormat="1" ht="31.5" thickBot="1">
      <c r="B12" s="430" t="s">
        <v>20</v>
      </c>
      <c r="C12" s="426" t="s">
        <v>98</v>
      </c>
      <c r="D12" s="426" t="s">
        <v>99</v>
      </c>
      <c r="E12" s="427" t="s">
        <v>228</v>
      </c>
      <c r="F12" s="428" t="s">
        <v>1</v>
      </c>
      <c r="G12" s="428" t="s">
        <v>1</v>
      </c>
      <c r="H12" s="428" t="s">
        <v>34</v>
      </c>
      <c r="I12" s="428" t="s">
        <v>2</v>
      </c>
      <c r="J12" s="429" t="s">
        <v>3</v>
      </c>
      <c r="K12" s="429" t="s">
        <v>4</v>
      </c>
      <c r="L12" s="429" t="s">
        <v>5</v>
      </c>
      <c r="M12" s="429" t="s">
        <v>6</v>
      </c>
      <c r="N12" s="429" t="s">
        <v>7</v>
      </c>
      <c r="O12" s="429" t="s">
        <v>8</v>
      </c>
      <c r="P12" s="429" t="s">
        <v>9</v>
      </c>
      <c r="Q12" s="429" t="s">
        <v>10</v>
      </c>
      <c r="R12" s="429" t="s">
        <v>11</v>
      </c>
      <c r="S12" s="429" t="s">
        <v>12</v>
      </c>
      <c r="T12" s="429" t="s">
        <v>13</v>
      </c>
      <c r="U12" s="429" t="s">
        <v>14</v>
      </c>
      <c r="V12" s="429" t="s">
        <v>87</v>
      </c>
      <c r="W12" s="448" t="s">
        <v>125</v>
      </c>
      <c r="Y12" s="527" t="s">
        <v>382</v>
      </c>
    </row>
    <row r="13" spans="1:25" ht="15">
      <c r="A13" s="337">
        <v>3</v>
      </c>
      <c r="B13" s="449" t="s">
        <v>245</v>
      </c>
      <c r="C13" s="349">
        <v>44564</v>
      </c>
      <c r="D13" s="349">
        <v>44651</v>
      </c>
      <c r="E13" s="450">
        <f>DAYS360(C13,D13)+1</f>
        <v>89</v>
      </c>
      <c r="F13" s="350">
        <v>4417768</v>
      </c>
      <c r="G13" s="350">
        <f>(+F13*'SUPUESTOS GASTOS'!$F$6)+'NOMINA 1ER TRIM'!F13</f>
        <v>4638656.4</v>
      </c>
      <c r="H13" s="371"/>
      <c r="I13" s="350">
        <f aca="true" t="shared" si="1" ref="I13:I25">SUM(G13:H13)</f>
        <v>4638656.4</v>
      </c>
      <c r="J13" s="350">
        <f>ROUND(+((G13/'SUPUESTOS GASTOS'!$F$12)*E13),0)</f>
        <v>13761347</v>
      </c>
      <c r="K13" s="350">
        <f>ROUND(+((I13*E13)/'SUPUESTOS GASTOS'!$F$10),0)</f>
        <v>1146779</v>
      </c>
      <c r="L13" s="350">
        <f aca="true" t="shared" si="2" ref="L13:L28">((I13*12%)*8%)</f>
        <v>44531.101440000006</v>
      </c>
      <c r="M13" s="350">
        <f aca="true" t="shared" si="3" ref="M13:M26">+K13</f>
        <v>1146779</v>
      </c>
      <c r="N13" s="350">
        <f aca="true" t="shared" si="4" ref="N13:N28">ROUND(+(G13*E13)/720,0)</f>
        <v>573389</v>
      </c>
      <c r="O13" s="350">
        <f>ROUNDUP((+$J13)*'SUPUESTOS GASTOS'!$F$19,-3)</f>
        <v>1652000</v>
      </c>
      <c r="P13" s="350">
        <f>ROUNDUP((+$J13)*'SUPUESTOS GASTOS'!$F$20,-3)</f>
        <v>1170000</v>
      </c>
      <c r="Q13" s="372">
        <f>ROUNDUP((+$J13)*'SUPUESTOS GASTOS'!$F$23,-3)</f>
        <v>336000</v>
      </c>
      <c r="R13" s="350">
        <f aca="true" t="shared" si="5" ref="R13:R28">ROUND((J13*4%),3)</f>
        <v>550453.88</v>
      </c>
      <c r="S13" s="350">
        <f aca="true" t="shared" si="6" ref="S13:S28">ROUND((J13*2%),0+3)</f>
        <v>275226.94</v>
      </c>
      <c r="T13" s="350">
        <f aca="true" t="shared" si="7" ref="T13:T28">ROUND((J13*3%),3)</f>
        <v>412840.41</v>
      </c>
      <c r="U13" s="350">
        <f aca="true" t="shared" si="8" ref="U13:U26">SUM(J13:T13)</f>
        <v>21069346.331439998</v>
      </c>
      <c r="V13" s="350"/>
      <c r="W13" s="443">
        <f>+U13+V13</f>
        <v>21069346.331439998</v>
      </c>
      <c r="Y13" s="530">
        <v>0.02436</v>
      </c>
    </row>
    <row r="14" spans="1:25" ht="15">
      <c r="A14" s="337">
        <v>4</v>
      </c>
      <c r="B14" s="383" t="s">
        <v>15</v>
      </c>
      <c r="C14" s="351">
        <v>44572</v>
      </c>
      <c r="D14" s="351">
        <v>44651</v>
      </c>
      <c r="E14" s="446">
        <f aca="true" t="shared" si="9" ref="E14:E28">DAYS360(C14,D14)+1</f>
        <v>81</v>
      </c>
      <c r="F14" s="352">
        <v>2089756</v>
      </c>
      <c r="G14" s="352">
        <f>(+F14*'SUPUESTOS GASTOS'!$F$6)+'NOMINA 1ER TRIM'!F14</f>
        <v>2194243.8</v>
      </c>
      <c r="H14" s="352"/>
      <c r="I14" s="352">
        <f t="shared" si="1"/>
        <v>2194243.8</v>
      </c>
      <c r="J14" s="352">
        <f>ROUND(+((G14/'SUPUESTOS GASTOS'!$F$12)*E14),0)</f>
        <v>5924458</v>
      </c>
      <c r="K14" s="352">
        <f>ROUND(+((I14*E14)/'SUPUESTOS GASTOS'!$F$10),0)</f>
        <v>493705</v>
      </c>
      <c r="L14" s="352">
        <f t="shared" si="2"/>
        <v>21064.74048</v>
      </c>
      <c r="M14" s="352">
        <f t="shared" si="3"/>
        <v>493705</v>
      </c>
      <c r="N14" s="352">
        <f t="shared" si="4"/>
        <v>246852</v>
      </c>
      <c r="O14" s="352">
        <f>ROUNDUP((+$J14)*'SUPUESTOS GASTOS'!$F$19,-3)</f>
        <v>711000</v>
      </c>
      <c r="P14" s="352">
        <f>ROUNDUP((+$J14)*'SUPUESTOS GASTOS'!$F$20,-3)</f>
        <v>504000</v>
      </c>
      <c r="Q14" s="373">
        <f>ROUNDUP((+$J14)*'SUPUESTOS GASTOS'!$F$25,-3)</f>
        <v>258000</v>
      </c>
      <c r="R14" s="352">
        <f t="shared" si="5"/>
        <v>236978.32</v>
      </c>
      <c r="S14" s="352">
        <f t="shared" si="6"/>
        <v>118489.16</v>
      </c>
      <c r="T14" s="352">
        <f t="shared" si="7"/>
        <v>177733.74</v>
      </c>
      <c r="U14" s="352">
        <f t="shared" si="8"/>
        <v>9185985.96048</v>
      </c>
      <c r="V14" s="352"/>
      <c r="W14" s="431">
        <f>+U14+V14</f>
        <v>9185985.96048</v>
      </c>
      <c r="Y14" s="531">
        <v>0.0435</v>
      </c>
    </row>
    <row r="15" spans="1:25" ht="15">
      <c r="A15" s="337">
        <v>5</v>
      </c>
      <c r="B15" s="383" t="s">
        <v>16</v>
      </c>
      <c r="C15" s="351">
        <v>44572</v>
      </c>
      <c r="D15" s="351">
        <v>44651</v>
      </c>
      <c r="E15" s="446">
        <f t="shared" si="9"/>
        <v>81</v>
      </c>
      <c r="F15" s="352">
        <v>2089756</v>
      </c>
      <c r="G15" s="352">
        <f>(+F15*'SUPUESTOS GASTOS'!$F$6)+'NOMINA 1ER TRIM'!F15</f>
        <v>2194243.8</v>
      </c>
      <c r="H15" s="352"/>
      <c r="I15" s="352">
        <f t="shared" si="1"/>
        <v>2194243.8</v>
      </c>
      <c r="J15" s="352">
        <f>ROUND(+((G15/'SUPUESTOS GASTOS'!$F$12)*E15),0)</f>
        <v>5924458</v>
      </c>
      <c r="K15" s="352">
        <f>ROUND(+((I15*E15)/'SUPUESTOS GASTOS'!$F$10),0)</f>
        <v>493705</v>
      </c>
      <c r="L15" s="352">
        <f t="shared" si="2"/>
        <v>21064.74048</v>
      </c>
      <c r="M15" s="352">
        <f t="shared" si="3"/>
        <v>493705</v>
      </c>
      <c r="N15" s="352">
        <f t="shared" si="4"/>
        <v>246852</v>
      </c>
      <c r="O15" s="352">
        <f>ROUNDUP((+$J15)*'SUPUESTOS GASTOS'!$F$19,-3)</f>
        <v>711000</v>
      </c>
      <c r="P15" s="352">
        <f>ROUNDUP((+$J15)*'SUPUESTOS GASTOS'!$F$20,-3)</f>
        <v>504000</v>
      </c>
      <c r="Q15" s="373">
        <f>ROUNDUP((+$J15)*'SUPUESTOS GASTOS'!$F$25,-3)</f>
        <v>258000</v>
      </c>
      <c r="R15" s="352">
        <f t="shared" si="5"/>
        <v>236978.32</v>
      </c>
      <c r="S15" s="352">
        <f t="shared" si="6"/>
        <v>118489.16</v>
      </c>
      <c r="T15" s="352">
        <f t="shared" si="7"/>
        <v>177733.74</v>
      </c>
      <c r="U15" s="352">
        <f t="shared" si="8"/>
        <v>9185985.96048</v>
      </c>
      <c r="V15" s="352"/>
      <c r="W15" s="431">
        <f>+U15+V15</f>
        <v>9185985.96048</v>
      </c>
      <c r="Y15" s="531">
        <v>0.0435</v>
      </c>
    </row>
    <row r="16" spans="1:25" ht="15">
      <c r="A16" s="337">
        <v>6</v>
      </c>
      <c r="B16" s="383" t="s">
        <v>17</v>
      </c>
      <c r="C16" s="351">
        <v>44572</v>
      </c>
      <c r="D16" s="351">
        <v>44651</v>
      </c>
      <c r="E16" s="446">
        <f t="shared" si="9"/>
        <v>81</v>
      </c>
      <c r="F16" s="352">
        <v>2089756</v>
      </c>
      <c r="G16" s="352">
        <f>(+F16*'SUPUESTOS GASTOS'!$F$6)+'NOMINA 1ER TRIM'!F16</f>
        <v>2194243.8</v>
      </c>
      <c r="H16" s="352"/>
      <c r="I16" s="352">
        <f t="shared" si="1"/>
        <v>2194243.8</v>
      </c>
      <c r="J16" s="352">
        <f>ROUND(+((G16/'SUPUESTOS GASTOS'!$F$12)*E16),0)</f>
        <v>5924458</v>
      </c>
      <c r="K16" s="352">
        <f>ROUND(+((I16*E16)/'SUPUESTOS GASTOS'!$F$10),0)</f>
        <v>493705</v>
      </c>
      <c r="L16" s="352">
        <f t="shared" si="2"/>
        <v>21064.74048</v>
      </c>
      <c r="M16" s="352">
        <f t="shared" si="3"/>
        <v>493705</v>
      </c>
      <c r="N16" s="352">
        <f t="shared" si="4"/>
        <v>246852</v>
      </c>
      <c r="O16" s="352">
        <f>ROUNDUP((+$J16)*'SUPUESTOS GASTOS'!$F$19,-3)</f>
        <v>711000</v>
      </c>
      <c r="P16" s="352">
        <f>ROUNDUP((+$J16)*'SUPUESTOS GASTOS'!$F$20,-3)</f>
        <v>504000</v>
      </c>
      <c r="Q16" s="373">
        <f>ROUNDUP((+$J16)*'SUPUESTOS GASTOS'!$F$25,-3)</f>
        <v>258000</v>
      </c>
      <c r="R16" s="352">
        <f t="shared" si="5"/>
        <v>236978.32</v>
      </c>
      <c r="S16" s="352">
        <f t="shared" si="6"/>
        <v>118489.16</v>
      </c>
      <c r="T16" s="352">
        <f t="shared" si="7"/>
        <v>177733.74</v>
      </c>
      <c r="U16" s="352">
        <f t="shared" si="8"/>
        <v>9185985.96048</v>
      </c>
      <c r="V16" s="352"/>
      <c r="W16" s="431">
        <f>+U16+V16</f>
        <v>9185985.96048</v>
      </c>
      <c r="Y16" s="531">
        <v>0.0435</v>
      </c>
    </row>
    <row r="17" spans="1:25" ht="15">
      <c r="A17" s="337">
        <v>7</v>
      </c>
      <c r="B17" s="383" t="s">
        <v>18</v>
      </c>
      <c r="C17" s="351">
        <v>44572</v>
      </c>
      <c r="D17" s="351">
        <v>44651</v>
      </c>
      <c r="E17" s="446">
        <f t="shared" si="9"/>
        <v>81</v>
      </c>
      <c r="F17" s="352">
        <v>2089756</v>
      </c>
      <c r="G17" s="352">
        <f>(+F17*'SUPUESTOS GASTOS'!$F$6)+'NOMINA 1ER TRIM'!F17</f>
        <v>2194243.8</v>
      </c>
      <c r="H17" s="352"/>
      <c r="I17" s="352">
        <f t="shared" si="1"/>
        <v>2194243.8</v>
      </c>
      <c r="J17" s="352">
        <f>ROUND(+((G17/'SUPUESTOS GASTOS'!$F$12)*E17),0)</f>
        <v>5924458</v>
      </c>
      <c r="K17" s="352">
        <f>ROUND(+((I17*E17)/'SUPUESTOS GASTOS'!$F$10),0)</f>
        <v>493705</v>
      </c>
      <c r="L17" s="352">
        <f t="shared" si="2"/>
        <v>21064.74048</v>
      </c>
      <c r="M17" s="352">
        <f t="shared" si="3"/>
        <v>493705</v>
      </c>
      <c r="N17" s="352">
        <f t="shared" si="4"/>
        <v>246852</v>
      </c>
      <c r="O17" s="352">
        <f>ROUNDUP((+$J17)*'SUPUESTOS GASTOS'!$F$19,-3)</f>
        <v>711000</v>
      </c>
      <c r="P17" s="352">
        <f>ROUNDUP((+$J17)*'SUPUESTOS GASTOS'!$F$20,-3)</f>
        <v>504000</v>
      </c>
      <c r="Q17" s="373">
        <f>ROUNDUP((+$J17)*'SUPUESTOS GASTOS'!$F$25,-3)</f>
        <v>258000</v>
      </c>
      <c r="R17" s="352">
        <f t="shared" si="5"/>
        <v>236978.32</v>
      </c>
      <c r="S17" s="352">
        <f t="shared" si="6"/>
        <v>118489.16</v>
      </c>
      <c r="T17" s="352">
        <f t="shared" si="7"/>
        <v>177733.74</v>
      </c>
      <c r="U17" s="352">
        <f t="shared" si="8"/>
        <v>9185985.96048</v>
      </c>
      <c r="V17" s="352"/>
      <c r="W17" s="431">
        <f>+U17+V17</f>
        <v>9185985.96048</v>
      </c>
      <c r="Y17" s="531">
        <v>0.0435</v>
      </c>
    </row>
    <row r="18" spans="1:25" ht="15">
      <c r="A18" s="337">
        <v>8</v>
      </c>
      <c r="B18" s="383" t="s">
        <v>42</v>
      </c>
      <c r="C18" s="351">
        <v>44572</v>
      </c>
      <c r="D18" s="351">
        <v>44651</v>
      </c>
      <c r="E18" s="446">
        <f t="shared" si="9"/>
        <v>81</v>
      </c>
      <c r="F18" s="352">
        <v>2089756</v>
      </c>
      <c r="G18" s="352">
        <f>(+F18*'SUPUESTOS GASTOS'!$F$6)+'NOMINA 1ER TRIM'!F18</f>
        <v>2194243.8</v>
      </c>
      <c r="H18" s="352"/>
      <c r="I18" s="352">
        <f t="shared" si="1"/>
        <v>2194243.8</v>
      </c>
      <c r="J18" s="352">
        <f>ROUND(+((G18/'SUPUESTOS GASTOS'!$F$12)*E18),0)</f>
        <v>5924458</v>
      </c>
      <c r="K18" s="352">
        <f>ROUND(+((I18*E18)/'SUPUESTOS GASTOS'!$F$10),0)</f>
        <v>493705</v>
      </c>
      <c r="L18" s="352">
        <f t="shared" si="2"/>
        <v>21064.74048</v>
      </c>
      <c r="M18" s="352">
        <f t="shared" si="3"/>
        <v>493705</v>
      </c>
      <c r="N18" s="352">
        <f t="shared" si="4"/>
        <v>246852</v>
      </c>
      <c r="O18" s="352">
        <f>ROUNDUP((+$J18)*'SUPUESTOS GASTOS'!$F$19,-3)</f>
        <v>711000</v>
      </c>
      <c r="P18" s="352">
        <f>ROUNDUP((+$J18)*'SUPUESTOS GASTOS'!$F$20,-3)</f>
        <v>504000</v>
      </c>
      <c r="Q18" s="373">
        <f>ROUNDUP((+$J18)*'SUPUESTOS GASTOS'!$F$25,-3)</f>
        <v>258000</v>
      </c>
      <c r="R18" s="352">
        <f t="shared" si="5"/>
        <v>236978.32</v>
      </c>
      <c r="S18" s="352">
        <f t="shared" si="6"/>
        <v>118489.16</v>
      </c>
      <c r="T18" s="352">
        <f t="shared" si="7"/>
        <v>177733.74</v>
      </c>
      <c r="U18" s="352">
        <f t="shared" si="8"/>
        <v>9185985.96048</v>
      </c>
      <c r="V18" s="352"/>
      <c r="W18" s="431">
        <f aca="true" t="shared" si="10" ref="W18:W28">+U18+V18</f>
        <v>9185985.96048</v>
      </c>
      <c r="Y18" s="531">
        <v>0.0435</v>
      </c>
    </row>
    <row r="19" spans="1:25" ht="15">
      <c r="A19" s="337">
        <v>9</v>
      </c>
      <c r="B19" s="383" t="s">
        <v>145</v>
      </c>
      <c r="C19" s="351">
        <v>44572</v>
      </c>
      <c r="D19" s="351">
        <v>44651</v>
      </c>
      <c r="E19" s="446">
        <f aca="true" t="shared" si="11" ref="E19:E24">DAYS360(C19,D19)+1</f>
        <v>81</v>
      </c>
      <c r="F19" s="352">
        <v>2089756</v>
      </c>
      <c r="G19" s="352">
        <f>(+F19*'SUPUESTOS GASTOS'!$F$6)+'NOMINA 1ER TRIM'!F19</f>
        <v>2194243.8</v>
      </c>
      <c r="H19" s="352"/>
      <c r="I19" s="352">
        <f aca="true" t="shared" si="12" ref="I19:I24">SUM(G19:H19)</f>
        <v>2194243.8</v>
      </c>
      <c r="J19" s="352">
        <f>ROUND(+((G19/'SUPUESTOS GASTOS'!$F$12)*E19),0)</f>
        <v>5924458</v>
      </c>
      <c r="K19" s="352">
        <f>ROUND(+((I19*E19)/'SUPUESTOS GASTOS'!$F$10),0)</f>
        <v>493705</v>
      </c>
      <c r="L19" s="352">
        <f t="shared" si="2"/>
        <v>21064.74048</v>
      </c>
      <c r="M19" s="352">
        <f aca="true" t="shared" si="13" ref="M19:M24">+K19</f>
        <v>493705</v>
      </c>
      <c r="N19" s="352">
        <f t="shared" si="4"/>
        <v>246852</v>
      </c>
      <c r="O19" s="352">
        <f>ROUNDUP((+$J19)*'SUPUESTOS GASTOS'!$F$19,-3)</f>
        <v>711000</v>
      </c>
      <c r="P19" s="352">
        <f>ROUNDUP((+$J19)*'SUPUESTOS GASTOS'!$F$20,-3)</f>
        <v>504000</v>
      </c>
      <c r="Q19" s="373">
        <f>ROUNDUP((+$J19)*'SUPUESTOS GASTOS'!$F$25,-3)</f>
        <v>258000</v>
      </c>
      <c r="R19" s="352">
        <f t="shared" si="5"/>
        <v>236978.32</v>
      </c>
      <c r="S19" s="352">
        <f t="shared" si="6"/>
        <v>118489.16</v>
      </c>
      <c r="T19" s="352">
        <f t="shared" si="7"/>
        <v>177733.74</v>
      </c>
      <c r="U19" s="352">
        <f t="shared" si="8"/>
        <v>9185985.96048</v>
      </c>
      <c r="V19" s="352"/>
      <c r="W19" s="431">
        <f aca="true" t="shared" si="14" ref="W19:W24">+U19+V19</f>
        <v>9185985.96048</v>
      </c>
      <c r="Y19" s="531">
        <v>0.0435</v>
      </c>
    </row>
    <row r="20" spans="1:25" ht="15">
      <c r="A20" s="337">
        <v>10</v>
      </c>
      <c r="B20" s="383" t="s">
        <v>185</v>
      </c>
      <c r="C20" s="351">
        <v>44572</v>
      </c>
      <c r="D20" s="351">
        <v>44651</v>
      </c>
      <c r="E20" s="446">
        <f t="shared" si="11"/>
        <v>81</v>
      </c>
      <c r="F20" s="352">
        <v>2089756</v>
      </c>
      <c r="G20" s="352">
        <f>(+F20*'SUPUESTOS GASTOS'!$F$6)+'NOMINA 1ER TRIM'!F20</f>
        <v>2194243.8</v>
      </c>
      <c r="H20" s="352"/>
      <c r="I20" s="352">
        <f t="shared" si="12"/>
        <v>2194243.8</v>
      </c>
      <c r="J20" s="352">
        <f>ROUND(+((G20/'SUPUESTOS GASTOS'!$F$12)*E20),0)</f>
        <v>5924458</v>
      </c>
      <c r="K20" s="352">
        <f>ROUND(+((I20*E20)/'SUPUESTOS GASTOS'!$F$10),0)</f>
        <v>493705</v>
      </c>
      <c r="L20" s="352">
        <f t="shared" si="2"/>
        <v>21064.74048</v>
      </c>
      <c r="M20" s="352">
        <f t="shared" si="13"/>
        <v>493705</v>
      </c>
      <c r="N20" s="352">
        <f>ROUND(+(G20*E20)/720,0)</f>
        <v>246852</v>
      </c>
      <c r="O20" s="352">
        <f>ROUNDUP((+$J20)*'SUPUESTOS GASTOS'!$F$19,-3)</f>
        <v>711000</v>
      </c>
      <c r="P20" s="352">
        <f>ROUNDUP((+$J20)*'SUPUESTOS GASTOS'!$F$20,-3)</f>
        <v>504000</v>
      </c>
      <c r="Q20" s="373">
        <f>ROUNDUP((+$J20)*'SUPUESTOS GASTOS'!$F$25,-3)</f>
        <v>258000</v>
      </c>
      <c r="R20" s="352">
        <f t="shared" si="5"/>
        <v>236978.32</v>
      </c>
      <c r="S20" s="352">
        <f t="shared" si="6"/>
        <v>118489.16</v>
      </c>
      <c r="T20" s="352">
        <f t="shared" si="7"/>
        <v>177733.74</v>
      </c>
      <c r="U20" s="352">
        <f t="shared" si="8"/>
        <v>9185985.96048</v>
      </c>
      <c r="V20" s="352"/>
      <c r="W20" s="431">
        <f t="shared" si="14"/>
        <v>9185985.96048</v>
      </c>
      <c r="Y20" s="531">
        <v>0.0435</v>
      </c>
    </row>
    <row r="21" spans="1:25" ht="15">
      <c r="A21" s="337">
        <v>11</v>
      </c>
      <c r="B21" s="383" t="s">
        <v>186</v>
      </c>
      <c r="C21" s="351">
        <v>44572</v>
      </c>
      <c r="D21" s="351">
        <v>44651</v>
      </c>
      <c r="E21" s="446">
        <f t="shared" si="11"/>
        <v>81</v>
      </c>
      <c r="F21" s="352">
        <v>2089756</v>
      </c>
      <c r="G21" s="352">
        <f>(+F21*'SUPUESTOS GASTOS'!$F$6)+'NOMINA 1ER TRIM'!F21</f>
        <v>2194243.8</v>
      </c>
      <c r="H21" s="352"/>
      <c r="I21" s="352">
        <f t="shared" si="12"/>
        <v>2194243.8</v>
      </c>
      <c r="J21" s="352">
        <f>ROUND(+((G21/'SUPUESTOS GASTOS'!$F$12)*E21),0)</f>
        <v>5924458</v>
      </c>
      <c r="K21" s="352">
        <f>ROUND(+((I21*E21)/'SUPUESTOS GASTOS'!$F$10),0)</f>
        <v>493705</v>
      </c>
      <c r="L21" s="352">
        <f t="shared" si="2"/>
        <v>21064.74048</v>
      </c>
      <c r="M21" s="352">
        <f t="shared" si="13"/>
        <v>493705</v>
      </c>
      <c r="N21" s="352">
        <f>ROUND(+(G21*E21)/720,0)</f>
        <v>246852</v>
      </c>
      <c r="O21" s="352">
        <f>ROUNDUP((+$J21)*'SUPUESTOS GASTOS'!$F$19,-3)</f>
        <v>711000</v>
      </c>
      <c r="P21" s="352">
        <f>ROUNDUP((+$J21)*'SUPUESTOS GASTOS'!$F$20,-3)</f>
        <v>504000</v>
      </c>
      <c r="Q21" s="373">
        <f>ROUNDUP((+$J21)*'SUPUESTOS GASTOS'!$F$25,-3)</f>
        <v>258000</v>
      </c>
      <c r="R21" s="352">
        <f t="shared" si="5"/>
        <v>236978.32</v>
      </c>
      <c r="S21" s="352">
        <f t="shared" si="6"/>
        <v>118489.16</v>
      </c>
      <c r="T21" s="352">
        <f t="shared" si="7"/>
        <v>177733.74</v>
      </c>
      <c r="U21" s="352">
        <f t="shared" si="8"/>
        <v>9185985.96048</v>
      </c>
      <c r="V21" s="352"/>
      <c r="W21" s="431">
        <f t="shared" si="14"/>
        <v>9185985.96048</v>
      </c>
      <c r="Y21" s="531">
        <v>0.0435</v>
      </c>
    </row>
    <row r="22" spans="1:25" ht="15">
      <c r="A22" s="337">
        <v>12</v>
      </c>
      <c r="B22" s="383" t="s">
        <v>359</v>
      </c>
      <c r="C22" s="351">
        <v>44572</v>
      </c>
      <c r="D22" s="351">
        <v>44651</v>
      </c>
      <c r="E22" s="446">
        <f t="shared" si="11"/>
        <v>81</v>
      </c>
      <c r="F22" s="352">
        <v>0</v>
      </c>
      <c r="G22" s="352">
        <f>+G21</f>
        <v>2194243.8</v>
      </c>
      <c r="H22" s="352"/>
      <c r="I22" s="352">
        <f t="shared" si="12"/>
        <v>2194243.8</v>
      </c>
      <c r="J22" s="352">
        <f>ROUND(+((G22/'SUPUESTOS GASTOS'!$F$12)*E22),0)</f>
        <v>5924458</v>
      </c>
      <c r="K22" s="352">
        <f>ROUND(+((I22*E22)/'SUPUESTOS GASTOS'!$F$10),0)</f>
        <v>493705</v>
      </c>
      <c r="L22" s="352">
        <f t="shared" si="2"/>
        <v>21064.74048</v>
      </c>
      <c r="M22" s="352">
        <f t="shared" si="13"/>
        <v>493705</v>
      </c>
      <c r="N22" s="352">
        <f>ROUND(+(G22*E22)/720,0)</f>
        <v>246852</v>
      </c>
      <c r="O22" s="352">
        <f>ROUNDUP((+$J22)*'SUPUESTOS GASTOS'!$F$19,-3)</f>
        <v>711000</v>
      </c>
      <c r="P22" s="352">
        <f>ROUNDUP((+$J22)*'SUPUESTOS GASTOS'!$F$20,-3)</f>
        <v>504000</v>
      </c>
      <c r="Q22" s="373">
        <f>ROUNDUP((+$J22)*'SUPUESTOS GASTOS'!$F$25,-3)</f>
        <v>258000</v>
      </c>
      <c r="R22" s="352">
        <f t="shared" si="5"/>
        <v>236978.32</v>
      </c>
      <c r="S22" s="352">
        <f t="shared" si="6"/>
        <v>118489.16</v>
      </c>
      <c r="T22" s="352">
        <f t="shared" si="7"/>
        <v>177733.74</v>
      </c>
      <c r="U22" s="352">
        <f t="shared" si="8"/>
        <v>9185985.96048</v>
      </c>
      <c r="V22" s="352"/>
      <c r="W22" s="431">
        <f t="shared" si="14"/>
        <v>9185985.96048</v>
      </c>
      <c r="Y22" s="531">
        <v>0.0435</v>
      </c>
    </row>
    <row r="23" spans="1:25" ht="15">
      <c r="A23" s="337">
        <v>13</v>
      </c>
      <c r="B23" s="383" t="s">
        <v>360</v>
      </c>
      <c r="C23" s="351">
        <v>44572</v>
      </c>
      <c r="D23" s="351">
        <v>44651</v>
      </c>
      <c r="E23" s="446">
        <f t="shared" si="11"/>
        <v>81</v>
      </c>
      <c r="F23" s="352">
        <v>0</v>
      </c>
      <c r="G23" s="352">
        <f>+G21</f>
        <v>2194243.8</v>
      </c>
      <c r="H23" s="352"/>
      <c r="I23" s="352">
        <f t="shared" si="12"/>
        <v>2194243.8</v>
      </c>
      <c r="J23" s="352">
        <f>ROUND(+((G23/'SUPUESTOS GASTOS'!$F$12)*E23),0)</f>
        <v>5924458</v>
      </c>
      <c r="K23" s="352">
        <f>ROUND(+((I23*E23)/'SUPUESTOS GASTOS'!$F$10),0)</f>
        <v>493705</v>
      </c>
      <c r="L23" s="352">
        <f t="shared" si="2"/>
        <v>21064.74048</v>
      </c>
      <c r="M23" s="352">
        <f t="shared" si="13"/>
        <v>493705</v>
      </c>
      <c r="N23" s="352">
        <f>ROUND(+(G23*E23)/720,0)</f>
        <v>246852</v>
      </c>
      <c r="O23" s="352">
        <f>ROUNDUP((+$J23)*'SUPUESTOS GASTOS'!$F$19,-3)</f>
        <v>711000</v>
      </c>
      <c r="P23" s="352">
        <f>ROUNDUP((+$J23)*'SUPUESTOS GASTOS'!$F$20,-3)</f>
        <v>504000</v>
      </c>
      <c r="Q23" s="373">
        <f>ROUNDUP((+$J23)*'SUPUESTOS GASTOS'!$F$25,-3)</f>
        <v>258000</v>
      </c>
      <c r="R23" s="352">
        <f t="shared" si="5"/>
        <v>236978.32</v>
      </c>
      <c r="S23" s="352">
        <f t="shared" si="6"/>
        <v>118489.16</v>
      </c>
      <c r="T23" s="352">
        <f t="shared" si="7"/>
        <v>177733.74</v>
      </c>
      <c r="U23" s="352">
        <f t="shared" si="8"/>
        <v>9185985.96048</v>
      </c>
      <c r="V23" s="352"/>
      <c r="W23" s="431">
        <f t="shared" si="14"/>
        <v>9185985.96048</v>
      </c>
      <c r="Y23" s="531">
        <v>0.0435</v>
      </c>
    </row>
    <row r="24" spans="1:25" ht="15">
      <c r="A24" s="337">
        <v>14</v>
      </c>
      <c r="B24" s="447" t="s">
        <v>381</v>
      </c>
      <c r="C24" s="351">
        <v>44564</v>
      </c>
      <c r="D24" s="351">
        <v>44651</v>
      </c>
      <c r="E24" s="384">
        <f t="shared" si="11"/>
        <v>89</v>
      </c>
      <c r="F24" s="352">
        <v>3709079</v>
      </c>
      <c r="G24" s="352">
        <f>(+F24*'SUPUESTOS GASTOS'!$F$6)+'NOMINA 1ER TRIM'!F24</f>
        <v>3894532.95</v>
      </c>
      <c r="H24" s="352"/>
      <c r="I24" s="352">
        <f t="shared" si="12"/>
        <v>3894532.95</v>
      </c>
      <c r="J24" s="352">
        <f>ROUND(+((G24/'SUPUESTOS GASTOS'!$F$12)*E24),0)</f>
        <v>11553781</v>
      </c>
      <c r="K24" s="352">
        <f>ROUND(+((I24*E24)/'SUPUESTOS GASTOS'!$F$10),0)</f>
        <v>962815</v>
      </c>
      <c r="L24" s="352">
        <f t="shared" si="2"/>
        <v>37387.51632</v>
      </c>
      <c r="M24" s="352">
        <f t="shared" si="13"/>
        <v>962815</v>
      </c>
      <c r="N24" s="352">
        <f>ROUND(+(G24*E24)/720,0)</f>
        <v>481408</v>
      </c>
      <c r="O24" s="352">
        <f>ROUNDUP((+$J24)*'SUPUESTOS GASTOS'!$F$19,-3)</f>
        <v>1387000</v>
      </c>
      <c r="P24" s="352">
        <f>ROUNDUP((+$J24)*'SUPUESTOS GASTOS'!$F$20,-3)</f>
        <v>983000</v>
      </c>
      <c r="Q24" s="352">
        <f>ROUNDUP((+$J24)*'SUPUESTOS GASTOS'!$F$23,-3)</f>
        <v>282000</v>
      </c>
      <c r="R24" s="352">
        <f t="shared" si="5"/>
        <v>462151.24</v>
      </c>
      <c r="S24" s="352">
        <f t="shared" si="6"/>
        <v>231075.62</v>
      </c>
      <c r="T24" s="352">
        <f t="shared" si="7"/>
        <v>346613.43</v>
      </c>
      <c r="U24" s="352">
        <f t="shared" si="8"/>
        <v>17690046.80632</v>
      </c>
      <c r="V24" s="352"/>
      <c r="W24" s="431">
        <f t="shared" si="14"/>
        <v>17690046.80632</v>
      </c>
      <c r="X24" s="374"/>
      <c r="Y24" s="531">
        <v>0.02436</v>
      </c>
    </row>
    <row r="25" spans="1:25" ht="15">
      <c r="A25" s="337">
        <v>15</v>
      </c>
      <c r="B25" s="447" t="s">
        <v>311</v>
      </c>
      <c r="C25" s="351">
        <v>44564</v>
      </c>
      <c r="D25" s="351">
        <v>44651</v>
      </c>
      <c r="E25" s="384">
        <f t="shared" si="9"/>
        <v>89</v>
      </c>
      <c r="F25" s="352">
        <v>2265522</v>
      </c>
      <c r="G25" s="352">
        <f>(+F25*'SUPUESTOS GASTOS'!$F$6)+'NOMINA 1ER TRIM'!F25</f>
        <v>2378798.1</v>
      </c>
      <c r="H25" s="352"/>
      <c r="I25" s="352">
        <f t="shared" si="1"/>
        <v>2378798.1</v>
      </c>
      <c r="J25" s="352">
        <f>ROUND(+((G25/'SUPUESTOS GASTOS'!$F$12)*E25),0)</f>
        <v>7057101</v>
      </c>
      <c r="K25" s="352">
        <f>ROUND(+((I25*E25)/'SUPUESTOS GASTOS'!$F$10),0)</f>
        <v>588092</v>
      </c>
      <c r="L25" s="352">
        <f t="shared" si="2"/>
        <v>22836.461760000002</v>
      </c>
      <c r="M25" s="352">
        <f t="shared" si="3"/>
        <v>588092</v>
      </c>
      <c r="N25" s="352">
        <f t="shared" si="4"/>
        <v>294046</v>
      </c>
      <c r="O25" s="352">
        <f>ROUNDUP((+$J25)*'SUPUESTOS GASTOS'!$F$19,-3)</f>
        <v>847000</v>
      </c>
      <c r="P25" s="352">
        <f>ROUNDUP((+$J25)*'SUPUESTOS GASTOS'!$F$20,-3)</f>
        <v>600000</v>
      </c>
      <c r="Q25" s="373">
        <f>ROUNDUP((+$J25)*'SUPUESTOS GASTOS'!$F$23,-3)</f>
        <v>172000</v>
      </c>
      <c r="R25" s="352">
        <f t="shared" si="5"/>
        <v>282284.04</v>
      </c>
      <c r="S25" s="352">
        <f t="shared" si="6"/>
        <v>141142.02</v>
      </c>
      <c r="T25" s="352">
        <f t="shared" si="7"/>
        <v>211713.03</v>
      </c>
      <c r="U25" s="352">
        <f t="shared" si="8"/>
        <v>10804306.551759997</v>
      </c>
      <c r="V25" s="352"/>
      <c r="W25" s="431">
        <f t="shared" si="10"/>
        <v>10804306.551759997</v>
      </c>
      <c r="X25" s="375"/>
      <c r="Y25" s="531">
        <v>0.02436</v>
      </c>
    </row>
    <row r="26" spans="1:25" ht="15">
      <c r="A26" s="337">
        <v>16</v>
      </c>
      <c r="B26" s="447" t="s">
        <v>311</v>
      </c>
      <c r="C26" s="351">
        <v>44564</v>
      </c>
      <c r="D26" s="351">
        <v>44651</v>
      </c>
      <c r="E26" s="384">
        <f t="shared" si="9"/>
        <v>89</v>
      </c>
      <c r="F26" s="352">
        <v>0</v>
      </c>
      <c r="G26" s="352">
        <f>+G25</f>
        <v>2378798.1</v>
      </c>
      <c r="H26" s="352"/>
      <c r="I26" s="352">
        <f>SUM(G26:H26)</f>
        <v>2378798.1</v>
      </c>
      <c r="J26" s="352">
        <f>ROUND(+((G26/'SUPUESTOS GASTOS'!$F$12)*E26),0)</f>
        <v>7057101</v>
      </c>
      <c r="K26" s="352">
        <f>ROUND(+((I26*E26)/'SUPUESTOS GASTOS'!$F$10),0)</f>
        <v>588092</v>
      </c>
      <c r="L26" s="352">
        <f t="shared" si="2"/>
        <v>22836.461760000002</v>
      </c>
      <c r="M26" s="352">
        <f t="shared" si="3"/>
        <v>588092</v>
      </c>
      <c r="N26" s="352">
        <f t="shared" si="4"/>
        <v>294046</v>
      </c>
      <c r="O26" s="352">
        <f>ROUNDUP((+$J26)*'SUPUESTOS GASTOS'!$F$19,-3)</f>
        <v>847000</v>
      </c>
      <c r="P26" s="352">
        <f>ROUNDUP((+$J26)*'SUPUESTOS GASTOS'!$F$20,-3)</f>
        <v>600000</v>
      </c>
      <c r="Q26" s="373">
        <f>ROUNDUP((+$J26)*'SUPUESTOS GASTOS'!$F$23,-3)</f>
        <v>172000</v>
      </c>
      <c r="R26" s="352">
        <f t="shared" si="5"/>
        <v>282284.04</v>
      </c>
      <c r="S26" s="352">
        <f t="shared" si="6"/>
        <v>141142.02</v>
      </c>
      <c r="T26" s="352">
        <f t="shared" si="7"/>
        <v>211713.03</v>
      </c>
      <c r="U26" s="352">
        <f t="shared" si="8"/>
        <v>10804306.551759997</v>
      </c>
      <c r="V26" s="352"/>
      <c r="W26" s="431">
        <f t="shared" si="10"/>
        <v>10804306.551759997</v>
      </c>
      <c r="X26" s="375"/>
      <c r="Y26" s="531">
        <v>0.02436</v>
      </c>
    </row>
    <row r="27" spans="1:25" ht="15">
      <c r="A27" s="337">
        <v>17</v>
      </c>
      <c r="B27" s="383" t="s">
        <v>203</v>
      </c>
      <c r="C27" s="351">
        <v>44564</v>
      </c>
      <c r="D27" s="351">
        <v>44651</v>
      </c>
      <c r="E27" s="384">
        <f>DAYS360(C27,D27)+1</f>
        <v>89</v>
      </c>
      <c r="F27" s="352">
        <v>1437474</v>
      </c>
      <c r="G27" s="352">
        <f>+F27*(1+'SUPUESTOS GASTOS'!$F$6)</f>
        <v>1509347.7</v>
      </c>
      <c r="H27" s="352">
        <f>+'SUPUESTOS GASTOS'!F14</f>
        <v>111776.7</v>
      </c>
      <c r="I27" s="352">
        <f>SUM(G27:H27)</f>
        <v>1621124.4</v>
      </c>
      <c r="J27" s="352">
        <f>ROUND(+((G27/'SUPUESTOS GASTOS'!$F$12)*E27),0)+6</f>
        <v>4477738</v>
      </c>
      <c r="K27" s="352">
        <f>ROUND(+((I27*E27)/'SUPUESTOS GASTOS'!$F$10),0)+1</f>
        <v>400779</v>
      </c>
      <c r="L27" s="352">
        <f t="shared" si="2"/>
        <v>15562.79424</v>
      </c>
      <c r="M27" s="352">
        <f>+K27</f>
        <v>400779</v>
      </c>
      <c r="N27" s="352">
        <f>ROUND(+(G27*E27)/720,0)</f>
        <v>186572</v>
      </c>
      <c r="O27" s="352">
        <f>ROUNDUP((+$J27)*'SUPUESTOS GASTOS'!$F$19,-3)</f>
        <v>538000</v>
      </c>
      <c r="P27" s="352">
        <f>ROUNDUP((+$J27)*'SUPUESTOS GASTOS'!$F$20,-3)</f>
        <v>381000</v>
      </c>
      <c r="Q27" s="352">
        <f>ROUNDUP((+$J27)*'SUPUESTOS GASTOS'!$F$23,-3)</f>
        <v>110000</v>
      </c>
      <c r="R27" s="352">
        <f t="shared" si="5"/>
        <v>179109.52</v>
      </c>
      <c r="S27" s="352">
        <f t="shared" si="6"/>
        <v>89554.76</v>
      </c>
      <c r="T27" s="352">
        <f t="shared" si="7"/>
        <v>134332.14</v>
      </c>
      <c r="U27" s="352">
        <f>ROUND(SUM(J27:T27)+((H27/30)*E27),0)</f>
        <v>7245031</v>
      </c>
      <c r="V27" s="352">
        <v>0</v>
      </c>
      <c r="W27" s="431">
        <f t="shared" si="10"/>
        <v>7245031</v>
      </c>
      <c r="Y27" s="531">
        <v>0.02436</v>
      </c>
    </row>
    <row r="28" spans="1:25" ht="15.75" thickBot="1">
      <c r="A28" s="337">
        <v>18</v>
      </c>
      <c r="B28" s="539" t="s">
        <v>135</v>
      </c>
      <c r="C28" s="540">
        <v>44564</v>
      </c>
      <c r="D28" s="540">
        <v>44651</v>
      </c>
      <c r="E28" s="541">
        <f t="shared" si="9"/>
        <v>89</v>
      </c>
      <c r="F28" s="542">
        <v>1197895</v>
      </c>
      <c r="G28" s="542">
        <f>+F28*(1+'SUPUESTOS GASTOS'!$F$6)</f>
        <v>1257789.75</v>
      </c>
      <c r="H28" s="542">
        <f>+'SUPUESTOS GASTOS'!F14</f>
        <v>111776.7</v>
      </c>
      <c r="I28" s="542">
        <f>SUM(G28:H28)</f>
        <v>1369566.45</v>
      </c>
      <c r="J28" s="542">
        <f>ROUND(+((G28/'SUPUESTOS GASTOS'!$F$12)*E28),0)</f>
        <v>3731443</v>
      </c>
      <c r="K28" s="542">
        <f>ROUND(+((I28*E28)/'SUPUESTOS GASTOS'!$F$10),0)</f>
        <v>338587</v>
      </c>
      <c r="L28" s="542">
        <f t="shared" si="2"/>
        <v>13147.83792</v>
      </c>
      <c r="M28" s="542">
        <f>+K28</f>
        <v>338587</v>
      </c>
      <c r="N28" s="542">
        <f t="shared" si="4"/>
        <v>155477</v>
      </c>
      <c r="O28" s="542">
        <f>ROUNDUP((+$J28)*'SUPUESTOS GASTOS'!$F$19,-3)</f>
        <v>448000</v>
      </c>
      <c r="P28" s="542">
        <f>ROUNDUP((+$J28)*'SUPUESTOS GASTOS'!$F$20,-3)</f>
        <v>318000</v>
      </c>
      <c r="Q28" s="542">
        <f>ROUNDUP((+$J28)*'SUPUESTOS GASTOS'!$F$22,-3)</f>
        <v>20000</v>
      </c>
      <c r="R28" s="542">
        <f t="shared" si="5"/>
        <v>149257.72</v>
      </c>
      <c r="S28" s="542">
        <f t="shared" si="6"/>
        <v>74628.86</v>
      </c>
      <c r="T28" s="542">
        <f t="shared" si="7"/>
        <v>111943.29</v>
      </c>
      <c r="U28" s="542">
        <f>ROUND(SUM(J28:T28)+((H28/30)*E28),0)</f>
        <v>6030676</v>
      </c>
      <c r="V28" s="542">
        <v>0</v>
      </c>
      <c r="W28" s="543">
        <f t="shared" si="10"/>
        <v>6030676</v>
      </c>
      <c r="Y28" s="531">
        <v>0.00522</v>
      </c>
    </row>
    <row r="29" spans="2:25" s="353" customFormat="1" ht="15.75" thickBot="1">
      <c r="B29" s="544" t="s">
        <v>28</v>
      </c>
      <c r="C29" s="545"/>
      <c r="D29" s="545"/>
      <c r="E29" s="546"/>
      <c r="F29" s="547">
        <f aca="true" t="shared" si="15" ref="F29:W29">SUM(F13:F28)</f>
        <v>29745786</v>
      </c>
      <c r="G29" s="547">
        <f t="shared" si="15"/>
        <v>38000361.00000001</v>
      </c>
      <c r="H29" s="547">
        <f t="shared" si="15"/>
        <v>223553.4</v>
      </c>
      <c r="I29" s="547">
        <f t="shared" si="15"/>
        <v>38223914.400000006</v>
      </c>
      <c r="J29" s="547">
        <f t="shared" si="15"/>
        <v>106883091</v>
      </c>
      <c r="K29" s="547">
        <f t="shared" si="15"/>
        <v>8962194</v>
      </c>
      <c r="L29" s="547">
        <f t="shared" si="15"/>
        <v>366949.57824000006</v>
      </c>
      <c r="M29" s="547">
        <f t="shared" si="15"/>
        <v>8962194</v>
      </c>
      <c r="N29" s="547">
        <f t="shared" si="15"/>
        <v>4453458</v>
      </c>
      <c r="O29" s="547">
        <f t="shared" si="15"/>
        <v>12829000</v>
      </c>
      <c r="P29" s="547">
        <f t="shared" si="15"/>
        <v>9092000</v>
      </c>
      <c r="Q29" s="547">
        <f t="shared" si="15"/>
        <v>3672000</v>
      </c>
      <c r="R29" s="547">
        <f t="shared" si="15"/>
        <v>4275323.64</v>
      </c>
      <c r="S29" s="547">
        <f t="shared" si="15"/>
        <v>2137661.82</v>
      </c>
      <c r="T29" s="547">
        <f t="shared" si="15"/>
        <v>3206492.7299999995</v>
      </c>
      <c r="U29" s="547">
        <f t="shared" si="15"/>
        <v>165503572.84608</v>
      </c>
      <c r="V29" s="547">
        <f t="shared" si="15"/>
        <v>0</v>
      </c>
      <c r="W29" s="548">
        <f t="shared" si="15"/>
        <v>165503572.84608</v>
      </c>
      <c r="X29" s="563"/>
      <c r="Y29" s="533"/>
    </row>
    <row r="30" spans="6:23" ht="15.75" thickBot="1">
      <c r="F30" s="378"/>
      <c r="G30" s="378"/>
      <c r="H30" s="378"/>
      <c r="I30" s="378"/>
      <c r="J30" s="378"/>
      <c r="K30" s="378"/>
      <c r="L30" s="378"/>
      <c r="M30" s="378"/>
      <c r="N30" s="378"/>
      <c r="O30" s="356"/>
      <c r="P30" s="356"/>
      <c r="Q30" s="356"/>
      <c r="R30" s="356"/>
      <c r="S30" s="356"/>
      <c r="T30" s="355"/>
      <c r="U30" s="355"/>
      <c r="V30" s="356"/>
      <c r="W30" s="356"/>
    </row>
    <row r="31" spans="2:25" s="353" customFormat="1" ht="15.75" thickBot="1">
      <c r="B31" s="357" t="s">
        <v>94</v>
      </c>
      <c r="C31" s="358"/>
      <c r="D31" s="358"/>
      <c r="E31" s="359"/>
      <c r="F31" s="360"/>
      <c r="G31" s="361"/>
      <c r="H31" s="361"/>
      <c r="I31" s="361"/>
      <c r="J31" s="361"/>
      <c r="K31" s="361"/>
      <c r="L31" s="361"/>
      <c r="M31" s="361"/>
      <c r="N31" s="361"/>
      <c r="O31" s="362"/>
      <c r="P31" s="362"/>
      <c r="Q31" s="362"/>
      <c r="R31" s="362"/>
      <c r="S31" s="362"/>
      <c r="T31" s="362"/>
      <c r="U31" s="363">
        <v>0</v>
      </c>
      <c r="V31" s="364"/>
      <c r="W31" s="364"/>
      <c r="Y31" s="332"/>
    </row>
    <row r="32" spans="2:23" ht="15.75" thickBot="1">
      <c r="B32" s="365"/>
      <c r="C32" s="365"/>
      <c r="D32" s="365"/>
      <c r="E32" s="341"/>
      <c r="F32" s="379"/>
      <c r="G32" s="378"/>
      <c r="H32" s="378"/>
      <c r="I32" s="378"/>
      <c r="J32" s="378"/>
      <c r="K32" s="378"/>
      <c r="L32" s="378"/>
      <c r="M32" s="378"/>
      <c r="N32" s="378"/>
      <c r="O32" s="356"/>
      <c r="P32" s="356"/>
      <c r="Q32" s="356"/>
      <c r="R32" s="356"/>
      <c r="S32" s="356"/>
      <c r="T32" s="356"/>
      <c r="U32" s="356"/>
      <c r="V32" s="356"/>
      <c r="W32" s="356"/>
    </row>
    <row r="33" spans="2:25" s="343" customFormat="1" ht="15.75" thickBot="1">
      <c r="B33" s="344"/>
      <c r="C33" s="344"/>
      <c r="D33" s="344"/>
      <c r="E33" s="344"/>
      <c r="F33" s="455" t="s">
        <v>276</v>
      </c>
      <c r="G33" s="696" t="s">
        <v>313</v>
      </c>
      <c r="H33" s="696"/>
      <c r="I33" s="697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9"/>
      <c r="V33" s="370"/>
      <c r="W33" s="370"/>
      <c r="Y33" s="526"/>
    </row>
    <row r="34" spans="2:25" s="348" customFormat="1" ht="31.5" thickBot="1">
      <c r="B34" s="430" t="s">
        <v>272</v>
      </c>
      <c r="C34" s="426" t="s">
        <v>98</v>
      </c>
      <c r="D34" s="426" t="s">
        <v>99</v>
      </c>
      <c r="E34" s="427" t="s">
        <v>228</v>
      </c>
      <c r="F34" s="428" t="s">
        <v>1</v>
      </c>
      <c r="G34" s="428" t="s">
        <v>1</v>
      </c>
      <c r="H34" s="428" t="s">
        <v>34</v>
      </c>
      <c r="I34" s="428" t="s">
        <v>2</v>
      </c>
      <c r="J34" s="429" t="s">
        <v>3</v>
      </c>
      <c r="K34" s="429" t="s">
        <v>4</v>
      </c>
      <c r="L34" s="429" t="s">
        <v>5</v>
      </c>
      <c r="M34" s="429" t="s">
        <v>6</v>
      </c>
      <c r="N34" s="429" t="s">
        <v>7</v>
      </c>
      <c r="O34" s="429" t="s">
        <v>8</v>
      </c>
      <c r="P34" s="429" t="s">
        <v>9</v>
      </c>
      <c r="Q34" s="429" t="s">
        <v>10</v>
      </c>
      <c r="R34" s="429" t="s">
        <v>11</v>
      </c>
      <c r="S34" s="429" t="s">
        <v>12</v>
      </c>
      <c r="T34" s="429" t="s">
        <v>13</v>
      </c>
      <c r="U34" s="429" t="s">
        <v>14</v>
      </c>
      <c r="V34" s="429" t="s">
        <v>87</v>
      </c>
      <c r="W34" s="448" t="s">
        <v>125</v>
      </c>
      <c r="Y34" s="527" t="s">
        <v>382</v>
      </c>
    </row>
    <row r="35" spans="1:25" ht="15">
      <c r="A35" s="337">
        <v>19</v>
      </c>
      <c r="B35" s="440" t="s">
        <v>299</v>
      </c>
      <c r="C35" s="349">
        <v>44564</v>
      </c>
      <c r="D35" s="349">
        <v>44651</v>
      </c>
      <c r="E35" s="441">
        <f>DAYS360(C35,D35)+1</f>
        <v>89</v>
      </c>
      <c r="F35" s="350">
        <v>4417768</v>
      </c>
      <c r="G35" s="350">
        <f>(+F35*'SUPUESTOS GASTOS'!$F$6)+'NOMINA 1ER TRIM'!F35</f>
        <v>4638656.4</v>
      </c>
      <c r="H35" s="350"/>
      <c r="I35" s="350">
        <f>SUM(G35:H35)</f>
        <v>4638656.4</v>
      </c>
      <c r="J35" s="350">
        <f>ROUND(+((G35/'SUPUESTOS GASTOS'!$F$12)*E35),0)</f>
        <v>13761347</v>
      </c>
      <c r="K35" s="350">
        <f>ROUND(+((I35*E35)/'SUPUESTOS GASTOS'!$F$10),0)</f>
        <v>1146779</v>
      </c>
      <c r="L35" s="350">
        <f>((I35*12%)*8%)</f>
        <v>44531.101440000006</v>
      </c>
      <c r="M35" s="350">
        <f>+K35</f>
        <v>1146779</v>
      </c>
      <c r="N35" s="350">
        <f>ROUND(+(G35*E35)/720,0)</f>
        <v>573389</v>
      </c>
      <c r="O35" s="350">
        <f>ROUNDUP((+$J35)*'SUPUESTOS GASTOS'!$F$19,-3)</f>
        <v>1652000</v>
      </c>
      <c r="P35" s="350">
        <f>ROUNDUP((+$J35)*'SUPUESTOS GASTOS'!$F$20,-3)</f>
        <v>1170000</v>
      </c>
      <c r="Q35" s="372">
        <f>ROUNDUP((+$J35)*'SUPUESTOS GASTOS'!$F$23,-3)</f>
        <v>336000</v>
      </c>
      <c r="R35" s="350">
        <f>ROUND((J35*4%),3)</f>
        <v>550453.88</v>
      </c>
      <c r="S35" s="350">
        <f>ROUND((J35*2%),0+3)</f>
        <v>275226.94</v>
      </c>
      <c r="T35" s="350">
        <f>ROUND((J35*3%),3)</f>
        <v>412840.41</v>
      </c>
      <c r="U35" s="350">
        <f>SUM(J35:T35)</f>
        <v>21069346.331439998</v>
      </c>
      <c r="V35" s="442">
        <v>0</v>
      </c>
      <c r="W35" s="443">
        <f>+V35+U35</f>
        <v>21069346.331439998</v>
      </c>
      <c r="Y35" s="530">
        <v>0.02436</v>
      </c>
    </row>
    <row r="36" spans="1:25" ht="15">
      <c r="A36" s="337">
        <v>20</v>
      </c>
      <c r="B36" s="447" t="s">
        <v>385</v>
      </c>
      <c r="C36" s="351">
        <v>44564</v>
      </c>
      <c r="D36" s="351">
        <v>44651</v>
      </c>
      <c r="E36" s="384">
        <f>DAYS360(C36,D36)+1</f>
        <v>89</v>
      </c>
      <c r="F36" s="352">
        <v>0</v>
      </c>
      <c r="G36" s="352">
        <f>+G24</f>
        <v>3894532.95</v>
      </c>
      <c r="H36" s="352"/>
      <c r="I36" s="352">
        <f>SUM(G36:H36)</f>
        <v>3894532.95</v>
      </c>
      <c r="J36" s="352">
        <f>ROUND(+((G36/'SUPUESTOS GASTOS'!$F$12)*E36),0)</f>
        <v>11553781</v>
      </c>
      <c r="K36" s="352">
        <f>ROUND(+((I36*E36)/'SUPUESTOS GASTOS'!$F$10),0)</f>
        <v>962815</v>
      </c>
      <c r="L36" s="352">
        <f>((I36*12%)*8%)</f>
        <v>37387.51632</v>
      </c>
      <c r="M36" s="352">
        <f>+K36</f>
        <v>962815</v>
      </c>
      <c r="N36" s="352">
        <f>ROUND(+(G36*E36)/720,0)</f>
        <v>481408</v>
      </c>
      <c r="O36" s="352">
        <f>ROUNDUP((+$J36)*'SUPUESTOS GASTOS'!$F$19,-3)</f>
        <v>1387000</v>
      </c>
      <c r="P36" s="352">
        <f>ROUNDUP((+$J36)*'SUPUESTOS GASTOS'!$F$20,-3)</f>
        <v>983000</v>
      </c>
      <c r="Q36" s="352">
        <f>ROUNDUP((+$J36)*'SUPUESTOS GASTOS'!$F$23,-3)</f>
        <v>282000</v>
      </c>
      <c r="R36" s="352">
        <f>ROUND((J36*4%),3)</f>
        <v>462151.24</v>
      </c>
      <c r="S36" s="352">
        <f>ROUND((J36*2%),0+3)</f>
        <v>231075.62</v>
      </c>
      <c r="T36" s="352">
        <f>ROUND((J36*3%),3)</f>
        <v>346613.43</v>
      </c>
      <c r="U36" s="352">
        <f>SUM(J36:T36)</f>
        <v>17690046.80632</v>
      </c>
      <c r="V36" s="352"/>
      <c r="W36" s="431">
        <f>+U36+V36</f>
        <v>17690046.80632</v>
      </c>
      <c r="Y36" s="531">
        <v>0.02436</v>
      </c>
    </row>
    <row r="37" spans="1:25" ht="15">
      <c r="A37" s="337">
        <v>21</v>
      </c>
      <c r="B37" s="447" t="s">
        <v>328</v>
      </c>
      <c r="C37" s="351">
        <v>44564</v>
      </c>
      <c r="D37" s="351">
        <v>44651</v>
      </c>
      <c r="E37" s="384">
        <f>DAYS360(C37,D37)+1</f>
        <v>89</v>
      </c>
      <c r="F37" s="352">
        <v>2265522</v>
      </c>
      <c r="G37" s="352">
        <f>(+F37*'SUPUESTOS GASTOS'!$F$6)+'NOMINA 1ER TRIM'!F37</f>
        <v>2378798.1</v>
      </c>
      <c r="H37" s="352"/>
      <c r="I37" s="352">
        <f>SUM(G37:H37)</f>
        <v>2378798.1</v>
      </c>
      <c r="J37" s="352">
        <f>ROUND(+((G37/'SUPUESTOS GASTOS'!$F$12)*E37),0)</f>
        <v>7057101</v>
      </c>
      <c r="K37" s="352">
        <f>ROUND(+((I37*E37)/'SUPUESTOS GASTOS'!$F$10),0)</f>
        <v>588092</v>
      </c>
      <c r="L37" s="352">
        <f>((I37*12%)*8%)</f>
        <v>22836.461760000002</v>
      </c>
      <c r="M37" s="352">
        <f>+K37</f>
        <v>588092</v>
      </c>
      <c r="N37" s="352">
        <f>ROUND(+(G37*E37)/720,0)</f>
        <v>294046</v>
      </c>
      <c r="O37" s="352">
        <f>ROUNDUP((+$J37)*'SUPUESTOS GASTOS'!$F$19,-3)</f>
        <v>847000</v>
      </c>
      <c r="P37" s="352">
        <f>ROUNDUP((+$J37)*'SUPUESTOS GASTOS'!$F$20,-3)</f>
        <v>600000</v>
      </c>
      <c r="Q37" s="352">
        <f>ROUNDUP((+$J37)*'SUPUESTOS GASTOS'!$F$23,-3)</f>
        <v>172000</v>
      </c>
      <c r="R37" s="352">
        <f>ROUND((J37*4%),3)</f>
        <v>282284.04</v>
      </c>
      <c r="S37" s="352">
        <f>ROUND((J37*2%),0+3)</f>
        <v>141142.02</v>
      </c>
      <c r="T37" s="352">
        <f>ROUND((J37*3%),3)</f>
        <v>211713.03</v>
      </c>
      <c r="U37" s="352">
        <f>SUM(J37:T37)</f>
        <v>10804306.551759997</v>
      </c>
      <c r="V37" s="352"/>
      <c r="W37" s="431">
        <f>+U37+V37</f>
        <v>10804306.551759997</v>
      </c>
      <c r="Y37" s="531">
        <v>0.02436</v>
      </c>
    </row>
    <row r="38" spans="1:25" ht="15.75" thickBot="1">
      <c r="A38" s="337">
        <v>22</v>
      </c>
      <c r="B38" s="539" t="s">
        <v>300</v>
      </c>
      <c r="C38" s="540">
        <v>44564</v>
      </c>
      <c r="D38" s="540">
        <v>44651</v>
      </c>
      <c r="E38" s="541">
        <f>DAYS360(C38,D38)+1</f>
        <v>89</v>
      </c>
      <c r="F38" s="542">
        <v>0</v>
      </c>
      <c r="G38" s="542">
        <f>+G37</f>
        <v>2378798.1</v>
      </c>
      <c r="H38" s="542"/>
      <c r="I38" s="542">
        <f>SUM(G38:H38)</f>
        <v>2378798.1</v>
      </c>
      <c r="J38" s="542">
        <f>ROUND(+((G38/'SUPUESTOS GASTOS'!$F$12)*E38),0)</f>
        <v>7057101</v>
      </c>
      <c r="K38" s="542">
        <f>ROUND(+((I38*E38)/'SUPUESTOS GASTOS'!$F$10),0)</f>
        <v>588092</v>
      </c>
      <c r="L38" s="542">
        <f>((I38*12%)*8%)</f>
        <v>22836.461760000002</v>
      </c>
      <c r="M38" s="542">
        <f>+K38</f>
        <v>588092</v>
      </c>
      <c r="N38" s="542">
        <f>ROUND(+(G38*E38)/720,0)</f>
        <v>294046</v>
      </c>
      <c r="O38" s="542">
        <f>ROUNDUP((+$J38)*'SUPUESTOS GASTOS'!$F$19,-3)</f>
        <v>847000</v>
      </c>
      <c r="P38" s="542">
        <f>ROUNDUP((+$J38)*'SUPUESTOS GASTOS'!$F$20,-3)</f>
        <v>600000</v>
      </c>
      <c r="Q38" s="542">
        <f>ROUNDUP((+$J38)*'SUPUESTOS GASTOS'!$F$23,-3)</f>
        <v>172000</v>
      </c>
      <c r="R38" s="542">
        <f>ROUND((J38*4%),3)</f>
        <v>282284.04</v>
      </c>
      <c r="S38" s="542">
        <f>ROUND((J38*2%),0+3)</f>
        <v>141142.02</v>
      </c>
      <c r="T38" s="542">
        <f>ROUND((J38*3%),3)</f>
        <v>211713.03</v>
      </c>
      <c r="U38" s="542">
        <f>SUM(J38:T38)</f>
        <v>10804306.551759997</v>
      </c>
      <c r="V38" s="542"/>
      <c r="W38" s="543">
        <f>+U38+V38</f>
        <v>10804306.551759997</v>
      </c>
      <c r="Y38" s="531">
        <v>0.02436</v>
      </c>
    </row>
    <row r="39" spans="2:25" s="353" customFormat="1" ht="15.75" thickBot="1">
      <c r="B39" s="544" t="s">
        <v>28</v>
      </c>
      <c r="C39" s="545"/>
      <c r="D39" s="545"/>
      <c r="E39" s="546"/>
      <c r="F39" s="547">
        <f aca="true" t="shared" si="16" ref="F39:W39">SUM(F35:F38)</f>
        <v>6683290</v>
      </c>
      <c r="G39" s="547">
        <f t="shared" si="16"/>
        <v>13290785.55</v>
      </c>
      <c r="H39" s="547">
        <f t="shared" si="16"/>
        <v>0</v>
      </c>
      <c r="I39" s="547">
        <f t="shared" si="16"/>
        <v>13290785.55</v>
      </c>
      <c r="J39" s="547">
        <f t="shared" si="16"/>
        <v>39429330</v>
      </c>
      <c r="K39" s="547">
        <f t="shared" si="16"/>
        <v>3285778</v>
      </c>
      <c r="L39" s="547">
        <f t="shared" si="16"/>
        <v>127591.54128000002</v>
      </c>
      <c r="M39" s="547">
        <f t="shared" si="16"/>
        <v>3285778</v>
      </c>
      <c r="N39" s="547">
        <f t="shared" si="16"/>
        <v>1642889</v>
      </c>
      <c r="O39" s="547">
        <f t="shared" si="16"/>
        <v>4733000</v>
      </c>
      <c r="P39" s="547">
        <f t="shared" si="16"/>
        <v>3353000</v>
      </c>
      <c r="Q39" s="547">
        <f t="shared" si="16"/>
        <v>962000</v>
      </c>
      <c r="R39" s="547">
        <f t="shared" si="16"/>
        <v>1577173.2</v>
      </c>
      <c r="S39" s="547">
        <f t="shared" si="16"/>
        <v>788586.6</v>
      </c>
      <c r="T39" s="547">
        <f t="shared" si="16"/>
        <v>1182879.9</v>
      </c>
      <c r="U39" s="547">
        <f t="shared" si="16"/>
        <v>60368006.24127999</v>
      </c>
      <c r="V39" s="547">
        <f t="shared" si="16"/>
        <v>0</v>
      </c>
      <c r="W39" s="548">
        <f t="shared" si="16"/>
        <v>60368006.24127999</v>
      </c>
      <c r="Y39" s="533"/>
    </row>
    <row r="40" spans="2:25" ht="15.75" thickBot="1">
      <c r="B40" s="365"/>
      <c r="C40" s="365"/>
      <c r="D40" s="365"/>
      <c r="E40" s="341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55"/>
      <c r="U40" s="355"/>
      <c r="V40" s="356"/>
      <c r="W40" s="356"/>
      <c r="Y40" s="535"/>
    </row>
    <row r="41" spans="2:25" s="343" customFormat="1" ht="15.75" thickBot="1">
      <c r="B41" s="344"/>
      <c r="C41" s="344"/>
      <c r="D41" s="344"/>
      <c r="E41" s="344"/>
      <c r="F41" s="455" t="s">
        <v>276</v>
      </c>
      <c r="G41" s="696" t="s">
        <v>313</v>
      </c>
      <c r="H41" s="696"/>
      <c r="I41" s="697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9"/>
      <c r="V41" s="370"/>
      <c r="W41" s="370"/>
      <c r="Y41" s="526"/>
    </row>
    <row r="42" spans="2:25" s="348" customFormat="1" ht="36" customHeight="1" thickBot="1">
      <c r="B42" s="430" t="s">
        <v>386</v>
      </c>
      <c r="C42" s="426" t="s">
        <v>98</v>
      </c>
      <c r="D42" s="426" t="s">
        <v>99</v>
      </c>
      <c r="E42" s="427" t="s">
        <v>228</v>
      </c>
      <c r="F42" s="428" t="s">
        <v>1</v>
      </c>
      <c r="G42" s="428" t="s">
        <v>1</v>
      </c>
      <c r="H42" s="428" t="s">
        <v>34</v>
      </c>
      <c r="I42" s="428" t="s">
        <v>2</v>
      </c>
      <c r="J42" s="429" t="s">
        <v>3</v>
      </c>
      <c r="K42" s="429" t="s">
        <v>4</v>
      </c>
      <c r="L42" s="429" t="s">
        <v>5</v>
      </c>
      <c r="M42" s="429" t="s">
        <v>6</v>
      </c>
      <c r="N42" s="429" t="s">
        <v>7</v>
      </c>
      <c r="O42" s="429" t="s">
        <v>8</v>
      </c>
      <c r="P42" s="429" t="s">
        <v>9</v>
      </c>
      <c r="Q42" s="429" t="s">
        <v>10</v>
      </c>
      <c r="R42" s="429" t="s">
        <v>11</v>
      </c>
      <c r="S42" s="429" t="s">
        <v>12</v>
      </c>
      <c r="T42" s="429" t="s">
        <v>13</v>
      </c>
      <c r="U42" s="429" t="s">
        <v>14</v>
      </c>
      <c r="V42" s="429" t="s">
        <v>87</v>
      </c>
      <c r="W42" s="448" t="s">
        <v>125</v>
      </c>
      <c r="Y42" s="527" t="s">
        <v>382</v>
      </c>
    </row>
    <row r="43" spans="1:25" ht="15">
      <c r="A43" s="337">
        <v>23</v>
      </c>
      <c r="B43" s="440" t="s">
        <v>268</v>
      </c>
      <c r="C43" s="349">
        <v>44564</v>
      </c>
      <c r="D43" s="349">
        <v>44651</v>
      </c>
      <c r="E43" s="441">
        <f aca="true" t="shared" si="17" ref="E43:E50">DAYS360(C43,D43)+1</f>
        <v>89</v>
      </c>
      <c r="F43" s="350">
        <v>4417768</v>
      </c>
      <c r="G43" s="350">
        <f>+F43*(1+'SUPUESTOS GASTOS'!$F$6)</f>
        <v>4638656.4</v>
      </c>
      <c r="H43" s="350"/>
      <c r="I43" s="350">
        <f>SUM(G43:H43)</f>
        <v>4638656.4</v>
      </c>
      <c r="J43" s="350">
        <f>ROUND(+((G43/'SUPUESTOS GASTOS'!$F$12)*E43),0)</f>
        <v>13761347</v>
      </c>
      <c r="K43" s="350">
        <f>ROUND(+((I43*E43)/'SUPUESTOS GASTOS'!$F$10),0)</f>
        <v>1146779</v>
      </c>
      <c r="L43" s="350">
        <f>((I43*12%)*8%)</f>
        <v>44531.101440000006</v>
      </c>
      <c r="M43" s="350">
        <f aca="true" t="shared" si="18" ref="M43:M49">+K43</f>
        <v>1146779</v>
      </c>
      <c r="N43" s="350">
        <f>ROUND(+(G43*E43)/720,0)</f>
        <v>573389</v>
      </c>
      <c r="O43" s="350">
        <f>ROUNDUP((+$J43)*'SUPUESTOS GASTOS'!$F$19,-3)</f>
        <v>1652000</v>
      </c>
      <c r="P43" s="350">
        <f>ROUNDUP((+$J43)*'SUPUESTOS GASTOS'!$F$20,-3)</f>
        <v>1170000</v>
      </c>
      <c r="Q43" s="372">
        <f>ROUNDUP((+$J43)*'SUPUESTOS GASTOS'!$F$23,-3)</f>
        <v>336000</v>
      </c>
      <c r="R43" s="350">
        <f>ROUND((J43*4%),3)</f>
        <v>550453.88</v>
      </c>
      <c r="S43" s="350">
        <f>ROUND((J43*2%),0+3)</f>
        <v>275226.94</v>
      </c>
      <c r="T43" s="350">
        <f>ROUND((J43*3%),3)</f>
        <v>412840.41</v>
      </c>
      <c r="U43" s="350">
        <f>SUM(J43:T43)</f>
        <v>21069346.331439998</v>
      </c>
      <c r="V43" s="442"/>
      <c r="W43" s="443">
        <f>+U43</f>
        <v>21069346.331439998</v>
      </c>
      <c r="Y43" s="530">
        <v>0.02436</v>
      </c>
    </row>
    <row r="44" spans="1:25" ht="15">
      <c r="A44" s="337">
        <v>24</v>
      </c>
      <c r="B44" s="383" t="s">
        <v>269</v>
      </c>
      <c r="C44" s="351">
        <v>44564</v>
      </c>
      <c r="D44" s="351">
        <v>44651</v>
      </c>
      <c r="E44" s="384">
        <f t="shared" si="17"/>
        <v>89</v>
      </c>
      <c r="F44" s="352">
        <v>1197895</v>
      </c>
      <c r="G44" s="352">
        <f>+F44*(1+'SUPUESTOS GASTOS'!$F$6)</f>
        <v>1257789.75</v>
      </c>
      <c r="H44" s="352">
        <f>+'SUPUESTOS GASTOS'!F14</f>
        <v>111776.7</v>
      </c>
      <c r="I44" s="352">
        <f>+G44+H44</f>
        <v>1369566.45</v>
      </c>
      <c r="J44" s="352">
        <f>ROUND(+((G44/'SUPUESTOS GASTOS'!$F$12)*E44),0)</f>
        <v>3731443</v>
      </c>
      <c r="K44" s="352">
        <f>ROUND(+((I44*E44)/'SUPUESTOS GASTOS'!$F$10),0)</f>
        <v>338587</v>
      </c>
      <c r="L44" s="352">
        <f>((I44*12%)*8%)</f>
        <v>13147.83792</v>
      </c>
      <c r="M44" s="352">
        <f t="shared" si="18"/>
        <v>338587</v>
      </c>
      <c r="N44" s="352">
        <f>ROUND(+(G44*E44)/720,0)</f>
        <v>155477</v>
      </c>
      <c r="O44" s="352">
        <f>ROUNDUP((+$J44)*'SUPUESTOS GASTOS'!$F$19,-3)</f>
        <v>448000</v>
      </c>
      <c r="P44" s="352">
        <f>ROUNDUP((+$J44)*'SUPUESTOS GASTOS'!$F$20,-3)</f>
        <v>318000</v>
      </c>
      <c r="Q44" s="352">
        <f>ROUNDUP((+$J44)*'SUPUESTOS GASTOS'!$F$22,-3)</f>
        <v>20000</v>
      </c>
      <c r="R44" s="352">
        <f>ROUND((J44*4%),3)</f>
        <v>149257.72</v>
      </c>
      <c r="S44" s="352">
        <f>ROUND((J44*2%),0+3)</f>
        <v>74628.86</v>
      </c>
      <c r="T44" s="352">
        <f>ROUND((J44*3%),3)</f>
        <v>111943.29</v>
      </c>
      <c r="U44" s="352">
        <f>ROUND(SUM(J44:T44)+((H44/30)*E44),0)</f>
        <v>6030676</v>
      </c>
      <c r="V44" s="352">
        <v>0</v>
      </c>
      <c r="W44" s="431">
        <f>+U44+V44</f>
        <v>6030676</v>
      </c>
      <c r="Y44" s="531">
        <v>0.00522</v>
      </c>
    </row>
    <row r="45" spans="1:25" ht="15.75" thickBot="1">
      <c r="A45" s="337">
        <v>25</v>
      </c>
      <c r="B45" s="383" t="s">
        <v>134</v>
      </c>
      <c r="C45" s="351">
        <v>44562</v>
      </c>
      <c r="D45" s="351">
        <v>44651</v>
      </c>
      <c r="E45" s="384">
        <f t="shared" si="17"/>
        <v>91</v>
      </c>
      <c r="F45" s="352">
        <v>908526</v>
      </c>
      <c r="G45" s="352">
        <f>(+F45*'SUPUESTOS GASTOS'!$F$6)+'NOMINA 1ER TRIM'!F45</f>
        <v>953952.3</v>
      </c>
      <c r="H45" s="352">
        <v>0</v>
      </c>
      <c r="I45" s="352">
        <f>SUM(G45:H45)</f>
        <v>953952.3</v>
      </c>
      <c r="J45" s="352">
        <f>ROUND(+((G45/'SUPUESTOS GASTOS'!$F$12)*E45),0)</f>
        <v>2893655</v>
      </c>
      <c r="K45" s="352">
        <v>0</v>
      </c>
      <c r="L45" s="352">
        <v>0</v>
      </c>
      <c r="M45" s="352">
        <f t="shared" si="18"/>
        <v>0</v>
      </c>
      <c r="N45" s="352">
        <v>0</v>
      </c>
      <c r="O45" s="352">
        <v>0</v>
      </c>
      <c r="P45" s="352">
        <f>ROUNDUP((+$J45)*12.5%,-3)</f>
        <v>362000</v>
      </c>
      <c r="Q45" s="352">
        <f>ROUNDUP((+$J45)*'SUPUESTOS GASTOS'!$F$22,-3)</f>
        <v>16000</v>
      </c>
      <c r="R45" s="352">
        <v>0</v>
      </c>
      <c r="S45" s="352">
        <v>0</v>
      </c>
      <c r="T45" s="352">
        <v>0</v>
      </c>
      <c r="U45" s="352">
        <f>SUM(J45:T45)+((H45/30)*E45)</f>
        <v>3271655</v>
      </c>
      <c r="V45" s="352">
        <v>0</v>
      </c>
      <c r="W45" s="555">
        <f>+U45+V45</f>
        <v>3271655</v>
      </c>
      <c r="Y45" s="532">
        <v>0.00522</v>
      </c>
    </row>
    <row r="46" spans="1:25" ht="15">
      <c r="A46" s="337">
        <v>26</v>
      </c>
      <c r="B46" s="549" t="s">
        <v>361</v>
      </c>
      <c r="C46" s="550">
        <v>44564</v>
      </c>
      <c r="D46" s="550">
        <v>44651</v>
      </c>
      <c r="E46" s="551">
        <f t="shared" si="17"/>
        <v>89</v>
      </c>
      <c r="F46" s="552">
        <v>2831903</v>
      </c>
      <c r="G46" s="552">
        <f>+F46*(1+'SUPUESTOS GASTOS'!$F$6)</f>
        <v>2973498.15</v>
      </c>
      <c r="H46" s="552">
        <f>+'SUPUESTOS GASTOS'!F15</f>
        <v>0</v>
      </c>
      <c r="I46" s="552">
        <f>+G46+H46</f>
        <v>2973498.15</v>
      </c>
      <c r="J46" s="552">
        <f>ROUND(+((G46/'SUPUESTOS GASTOS'!$F$12)*E46),0)</f>
        <v>8821378</v>
      </c>
      <c r="K46" s="552">
        <f>ROUND(+((I46*E46)/'SUPUESTOS GASTOS'!$F$10),0)</f>
        <v>735115</v>
      </c>
      <c r="L46" s="552">
        <f aca="true" t="shared" si="19" ref="L46:L70">((I46*12%)*8%)</f>
        <v>28545.58224</v>
      </c>
      <c r="M46" s="552">
        <f t="shared" si="18"/>
        <v>735115</v>
      </c>
      <c r="N46" s="552">
        <f>ROUND(+(G46*E46)/720,0)</f>
        <v>367557</v>
      </c>
      <c r="O46" s="552">
        <f>ROUNDUP((+$J46)*'SUPUESTOS GASTOS'!$F$19,-3)</f>
        <v>1059000</v>
      </c>
      <c r="P46" s="552">
        <f>ROUNDUP((+$J46)*'SUPUESTOS GASTOS'!$F$20,-3)</f>
        <v>750000</v>
      </c>
      <c r="Q46" s="553">
        <f>ROUNDUP((+$J46)*'SUPUESTOS GASTOS'!$F$24,-3)</f>
        <v>384000</v>
      </c>
      <c r="R46" s="552">
        <f aca="true" t="shared" si="20" ref="R46:R70">ROUND((J46*4%),3)</f>
        <v>352855.12</v>
      </c>
      <c r="S46" s="552">
        <f aca="true" t="shared" si="21" ref="S46:S70">ROUND((J46*2%),0+3)</f>
        <v>176427.56</v>
      </c>
      <c r="T46" s="552">
        <f aca="true" t="shared" si="22" ref="T46:T70">ROUND((J46*3%),3)</f>
        <v>264641.34</v>
      </c>
      <c r="U46" s="552">
        <f>SUM(J46:T46)</f>
        <v>13674634.60224</v>
      </c>
      <c r="V46" s="552"/>
      <c r="W46" s="554">
        <f>+V46+U46</f>
        <v>13674634.60224</v>
      </c>
      <c r="Y46" s="531">
        <v>0.0435</v>
      </c>
    </row>
    <row r="47" spans="1:25" ht="15">
      <c r="A47" s="337">
        <v>27</v>
      </c>
      <c r="B47" s="383" t="s">
        <v>362</v>
      </c>
      <c r="C47" s="351">
        <v>44564</v>
      </c>
      <c r="D47" s="351">
        <v>44651</v>
      </c>
      <c r="E47" s="384">
        <f t="shared" si="17"/>
        <v>89</v>
      </c>
      <c r="F47" s="352">
        <v>2831903</v>
      </c>
      <c r="G47" s="352">
        <f>+F47*(1+'SUPUESTOS GASTOS'!$F$6)</f>
        <v>2973498.15</v>
      </c>
      <c r="H47" s="352">
        <f>+'SUPUESTOS GASTOS'!F16</f>
        <v>0</v>
      </c>
      <c r="I47" s="352">
        <f>+G47+H47</f>
        <v>2973498.15</v>
      </c>
      <c r="J47" s="352">
        <f>ROUND(+((G47/'SUPUESTOS GASTOS'!$F$12)*E47),0)</f>
        <v>8821378</v>
      </c>
      <c r="K47" s="352">
        <f>ROUND(+((I47*E47)/'SUPUESTOS GASTOS'!$F$10),0)</f>
        <v>735115</v>
      </c>
      <c r="L47" s="352">
        <f t="shared" si="19"/>
        <v>28545.58224</v>
      </c>
      <c r="M47" s="352">
        <f t="shared" si="18"/>
        <v>735115</v>
      </c>
      <c r="N47" s="352">
        <f>ROUND(+(G47*E47)/720,0)</f>
        <v>367557</v>
      </c>
      <c r="O47" s="352">
        <f>ROUNDUP((+$J47)*'SUPUESTOS GASTOS'!$F$19,-3)</f>
        <v>1059000</v>
      </c>
      <c r="P47" s="352">
        <f>ROUNDUP((+$J47)*'SUPUESTOS GASTOS'!$F$20,-3)</f>
        <v>750000</v>
      </c>
      <c r="Q47" s="373">
        <f>ROUNDUP((+$J47)*'SUPUESTOS GASTOS'!$F$24,-3)</f>
        <v>384000</v>
      </c>
      <c r="R47" s="352">
        <f t="shared" si="20"/>
        <v>352855.12</v>
      </c>
      <c r="S47" s="352">
        <f t="shared" si="21"/>
        <v>176427.56</v>
      </c>
      <c r="T47" s="352">
        <f t="shared" si="22"/>
        <v>264641.34</v>
      </c>
      <c r="U47" s="352">
        <f>SUM(J47:T47)</f>
        <v>13674634.60224</v>
      </c>
      <c r="V47" s="352"/>
      <c r="W47" s="431">
        <f>+V47+U47</f>
        <v>13674634.60224</v>
      </c>
      <c r="Y47" s="531">
        <v>0.0435</v>
      </c>
    </row>
    <row r="48" spans="1:25" ht="15">
      <c r="A48" s="337">
        <v>28</v>
      </c>
      <c r="B48" s="383" t="s">
        <v>363</v>
      </c>
      <c r="C48" s="351">
        <v>44564</v>
      </c>
      <c r="D48" s="351">
        <v>44651</v>
      </c>
      <c r="E48" s="384">
        <f t="shared" si="17"/>
        <v>89</v>
      </c>
      <c r="F48" s="352">
        <v>2831903</v>
      </c>
      <c r="G48" s="352">
        <f>+F48*(1+'SUPUESTOS GASTOS'!$F$6)</f>
        <v>2973498.15</v>
      </c>
      <c r="H48" s="352">
        <f>+'SUPUESTOS GASTOS'!F17</f>
        <v>0</v>
      </c>
      <c r="I48" s="352">
        <f>+G48+H48</f>
        <v>2973498.15</v>
      </c>
      <c r="J48" s="352">
        <f>ROUND(+((G48/'SUPUESTOS GASTOS'!$F$12)*E48),0)</f>
        <v>8821378</v>
      </c>
      <c r="K48" s="352">
        <f>ROUND(+((I48*E48)/'SUPUESTOS GASTOS'!$F$10),0)</f>
        <v>735115</v>
      </c>
      <c r="L48" s="352">
        <f t="shared" si="19"/>
        <v>28545.58224</v>
      </c>
      <c r="M48" s="352">
        <f t="shared" si="18"/>
        <v>735115</v>
      </c>
      <c r="N48" s="352">
        <f>ROUND(+(G48*E48)/720,0)</f>
        <v>367557</v>
      </c>
      <c r="O48" s="352">
        <f>ROUNDUP((+$J48)*'SUPUESTOS GASTOS'!$F$19,-3)</f>
        <v>1059000</v>
      </c>
      <c r="P48" s="352">
        <f>ROUNDUP((+$J48)*'SUPUESTOS GASTOS'!$F$20,-3)</f>
        <v>750000</v>
      </c>
      <c r="Q48" s="373">
        <f>ROUNDUP((+$J48)*'SUPUESTOS GASTOS'!$F$24,-3)</f>
        <v>384000</v>
      </c>
      <c r="R48" s="352">
        <f t="shared" si="20"/>
        <v>352855.12</v>
      </c>
      <c r="S48" s="352">
        <f t="shared" si="21"/>
        <v>176427.56</v>
      </c>
      <c r="T48" s="352">
        <f t="shared" si="22"/>
        <v>264641.34</v>
      </c>
      <c r="U48" s="352">
        <f>SUM(J48:T48)</f>
        <v>13674634.60224</v>
      </c>
      <c r="V48" s="352"/>
      <c r="W48" s="431">
        <f>+V48+U48</f>
        <v>13674634.60224</v>
      </c>
      <c r="Y48" s="531">
        <v>0.0435</v>
      </c>
    </row>
    <row r="49" spans="1:25" ht="15">
      <c r="A49" s="337">
        <v>29</v>
      </c>
      <c r="B49" s="383" t="s">
        <v>126</v>
      </c>
      <c r="C49" s="351">
        <v>44572</v>
      </c>
      <c r="D49" s="351">
        <v>44651</v>
      </c>
      <c r="E49" s="384">
        <f t="shared" si="17"/>
        <v>81</v>
      </c>
      <c r="F49" s="352">
        <v>2265522</v>
      </c>
      <c r="G49" s="352">
        <f>+F49*(1+'SUPUESTOS GASTOS'!$F$6)</f>
        <v>2378798.1</v>
      </c>
      <c r="H49" s="352"/>
      <c r="I49" s="352">
        <f>SUM(G49:H49)</f>
        <v>2378798.1</v>
      </c>
      <c r="J49" s="352">
        <f>ROUND(+((G49/'SUPUESTOS GASTOS'!$F$12)*E49),0)</f>
        <v>6422755</v>
      </c>
      <c r="K49" s="352">
        <f>ROUND(+((I49*E49)/'SUPUESTOS GASTOS'!$F$10),0)</f>
        <v>535230</v>
      </c>
      <c r="L49" s="352">
        <f t="shared" si="19"/>
        <v>22836.461760000002</v>
      </c>
      <c r="M49" s="352">
        <f t="shared" si="18"/>
        <v>535230</v>
      </c>
      <c r="N49" s="352">
        <f>ROUND(+(G49*E49)/720,0)</f>
        <v>267615</v>
      </c>
      <c r="O49" s="352">
        <f>ROUNDUP((+$J49)*'SUPUESTOS GASTOS'!$F$19,-3)</f>
        <v>771000</v>
      </c>
      <c r="P49" s="352">
        <f>ROUNDUP((+$J49)*'SUPUESTOS GASTOS'!$F$20,-3)</f>
        <v>546000</v>
      </c>
      <c r="Q49" s="373">
        <f>ROUNDUP((+$J49)*'SUPUESTOS GASTOS'!$F$24,-3)</f>
        <v>280000</v>
      </c>
      <c r="R49" s="352">
        <f t="shared" si="20"/>
        <v>256910.2</v>
      </c>
      <c r="S49" s="352">
        <f t="shared" si="21"/>
        <v>128455.1</v>
      </c>
      <c r="T49" s="352">
        <f t="shared" si="22"/>
        <v>192682.65</v>
      </c>
      <c r="U49" s="352">
        <f>SUM(J49:T49)</f>
        <v>9958714.411759999</v>
      </c>
      <c r="V49" s="352"/>
      <c r="W49" s="431">
        <f>+V49+U49</f>
        <v>9958714.411759999</v>
      </c>
      <c r="Y49" s="531">
        <v>0.0435</v>
      </c>
    </row>
    <row r="50" spans="1:25" ht="15">
      <c r="A50" s="337">
        <v>30</v>
      </c>
      <c r="B50" s="383" t="s">
        <v>229</v>
      </c>
      <c r="C50" s="351">
        <v>44572</v>
      </c>
      <c r="D50" s="351">
        <v>44651</v>
      </c>
      <c r="E50" s="384">
        <f t="shared" si="17"/>
        <v>81</v>
      </c>
      <c r="F50" s="352">
        <v>2265522</v>
      </c>
      <c r="G50" s="352">
        <f>+F50*(1+'SUPUESTOS GASTOS'!$F$6)</f>
        <v>2378798.1</v>
      </c>
      <c r="H50" s="352"/>
      <c r="I50" s="352">
        <f aca="true" t="shared" si="23" ref="I50:I70">SUM(G50:H50)</f>
        <v>2378798.1</v>
      </c>
      <c r="J50" s="352">
        <f>ROUND(+((G50/'SUPUESTOS GASTOS'!$F$12)*E50),0)</f>
        <v>6422755</v>
      </c>
      <c r="K50" s="352">
        <f>ROUND(+((I50*E50)/'SUPUESTOS GASTOS'!$F$10),0)</f>
        <v>535230</v>
      </c>
      <c r="L50" s="352">
        <f t="shared" si="19"/>
        <v>22836.461760000002</v>
      </c>
      <c r="M50" s="352">
        <f aca="true" t="shared" si="24" ref="M50:M70">+K50</f>
        <v>535230</v>
      </c>
      <c r="N50" s="352">
        <f aca="true" t="shared" si="25" ref="N50:N70">ROUND(+(G50*E50)/720,0)</f>
        <v>267615</v>
      </c>
      <c r="O50" s="352">
        <f>ROUNDUP((+$J50)*'SUPUESTOS GASTOS'!$F$19,-3)</f>
        <v>771000</v>
      </c>
      <c r="P50" s="352">
        <f>ROUNDUP((+$J50)*'SUPUESTOS GASTOS'!$F$20,-3)</f>
        <v>546000</v>
      </c>
      <c r="Q50" s="373">
        <f>ROUNDUP((+$J50)*'SUPUESTOS GASTOS'!$F$24,-3)</f>
        <v>280000</v>
      </c>
      <c r="R50" s="352">
        <f t="shared" si="20"/>
        <v>256910.2</v>
      </c>
      <c r="S50" s="352">
        <f t="shared" si="21"/>
        <v>128455.1</v>
      </c>
      <c r="T50" s="352">
        <f t="shared" si="22"/>
        <v>192682.65</v>
      </c>
      <c r="U50" s="352">
        <f aca="true" t="shared" si="26" ref="U50:U70">SUM(J50:T50)</f>
        <v>9958714.411759999</v>
      </c>
      <c r="V50" s="352"/>
      <c r="W50" s="431">
        <f aca="true" t="shared" si="27" ref="W50:W70">+V50+U50</f>
        <v>9958714.411759999</v>
      </c>
      <c r="Y50" s="531">
        <v>0.0435</v>
      </c>
    </row>
    <row r="51" spans="1:25" ht="15">
      <c r="A51" s="337">
        <v>31</v>
      </c>
      <c r="B51" s="383" t="s">
        <v>230</v>
      </c>
      <c r="C51" s="351">
        <v>44572</v>
      </c>
      <c r="D51" s="351">
        <v>44651</v>
      </c>
      <c r="E51" s="384">
        <f aca="true" t="shared" si="28" ref="E51:E70">DAYS360(C51,D51)+1</f>
        <v>81</v>
      </c>
      <c r="F51" s="352">
        <v>2265522</v>
      </c>
      <c r="G51" s="352">
        <f>+F51*(1+'SUPUESTOS GASTOS'!$F$6)</f>
        <v>2378798.1</v>
      </c>
      <c r="H51" s="352"/>
      <c r="I51" s="352">
        <f t="shared" si="23"/>
        <v>2378798.1</v>
      </c>
      <c r="J51" s="352">
        <f>ROUND(+((G51/'SUPUESTOS GASTOS'!$F$12)*E51),0)</f>
        <v>6422755</v>
      </c>
      <c r="K51" s="352">
        <f>ROUND(+((I51*E51)/'SUPUESTOS GASTOS'!$F$10),0)</f>
        <v>535230</v>
      </c>
      <c r="L51" s="352">
        <f t="shared" si="19"/>
        <v>22836.461760000002</v>
      </c>
      <c r="M51" s="352">
        <f t="shared" si="24"/>
        <v>535230</v>
      </c>
      <c r="N51" s="352">
        <f t="shared" si="25"/>
        <v>267615</v>
      </c>
      <c r="O51" s="352">
        <f>ROUNDUP((+$J51)*'SUPUESTOS GASTOS'!$F$19,-3)</f>
        <v>771000</v>
      </c>
      <c r="P51" s="352">
        <f>ROUNDUP((+$J51)*'SUPUESTOS GASTOS'!$F$20,-3)</f>
        <v>546000</v>
      </c>
      <c r="Q51" s="373">
        <f>ROUNDUP((+$J51)*'SUPUESTOS GASTOS'!$F$24,-3)</f>
        <v>280000</v>
      </c>
      <c r="R51" s="352">
        <f t="shared" si="20"/>
        <v>256910.2</v>
      </c>
      <c r="S51" s="352">
        <f t="shared" si="21"/>
        <v>128455.1</v>
      </c>
      <c r="T51" s="352">
        <f t="shared" si="22"/>
        <v>192682.65</v>
      </c>
      <c r="U51" s="352">
        <f t="shared" si="26"/>
        <v>9958714.411759999</v>
      </c>
      <c r="V51" s="352"/>
      <c r="W51" s="431">
        <f t="shared" si="27"/>
        <v>9958714.411759999</v>
      </c>
      <c r="Y51" s="531">
        <v>0.0435</v>
      </c>
    </row>
    <row r="52" spans="1:25" ht="15">
      <c r="A52" s="337">
        <v>32</v>
      </c>
      <c r="B52" s="383" t="s">
        <v>231</v>
      </c>
      <c r="C52" s="351">
        <v>44572</v>
      </c>
      <c r="D52" s="351">
        <v>44651</v>
      </c>
      <c r="E52" s="384">
        <f t="shared" si="28"/>
        <v>81</v>
      </c>
      <c r="F52" s="352">
        <v>2265522</v>
      </c>
      <c r="G52" s="352">
        <f>+F52*(1+'SUPUESTOS GASTOS'!$F$6)</f>
        <v>2378798.1</v>
      </c>
      <c r="H52" s="352"/>
      <c r="I52" s="352">
        <f t="shared" si="23"/>
        <v>2378798.1</v>
      </c>
      <c r="J52" s="352">
        <f>ROUND(+((G52/'SUPUESTOS GASTOS'!$F$12)*E52),0)</f>
        <v>6422755</v>
      </c>
      <c r="K52" s="352">
        <f>ROUND(+((I52*E52)/'SUPUESTOS GASTOS'!$F$10),0)</f>
        <v>535230</v>
      </c>
      <c r="L52" s="352">
        <f t="shared" si="19"/>
        <v>22836.461760000002</v>
      </c>
      <c r="M52" s="352">
        <f t="shared" si="24"/>
        <v>535230</v>
      </c>
      <c r="N52" s="352">
        <f t="shared" si="25"/>
        <v>267615</v>
      </c>
      <c r="O52" s="352">
        <f>ROUNDUP((+$J52)*'SUPUESTOS GASTOS'!$F$19,-3)</f>
        <v>771000</v>
      </c>
      <c r="P52" s="352">
        <f>ROUNDUP((+$J52)*'SUPUESTOS GASTOS'!$F$20,-3)</f>
        <v>546000</v>
      </c>
      <c r="Q52" s="373">
        <f>ROUNDUP((+$J52)*'SUPUESTOS GASTOS'!$F$24,-3)</f>
        <v>280000</v>
      </c>
      <c r="R52" s="352">
        <f t="shared" si="20"/>
        <v>256910.2</v>
      </c>
      <c r="S52" s="352">
        <f t="shared" si="21"/>
        <v>128455.1</v>
      </c>
      <c r="T52" s="352">
        <f t="shared" si="22"/>
        <v>192682.65</v>
      </c>
      <c r="U52" s="352">
        <f t="shared" si="26"/>
        <v>9958714.411759999</v>
      </c>
      <c r="V52" s="352"/>
      <c r="W52" s="431">
        <f t="shared" si="27"/>
        <v>9958714.411759999</v>
      </c>
      <c r="Y52" s="531">
        <v>0.0435</v>
      </c>
    </row>
    <row r="53" spans="1:25" ht="15">
      <c r="A53" s="337">
        <v>33</v>
      </c>
      <c r="B53" s="383" t="s">
        <v>232</v>
      </c>
      <c r="C53" s="351">
        <v>44572</v>
      </c>
      <c r="D53" s="351">
        <v>44651</v>
      </c>
      <c r="E53" s="384">
        <f t="shared" si="28"/>
        <v>81</v>
      </c>
      <c r="F53" s="352">
        <v>2265522</v>
      </c>
      <c r="G53" s="352">
        <f>+F53*(1+'SUPUESTOS GASTOS'!$F$6)</f>
        <v>2378798.1</v>
      </c>
      <c r="H53" s="352"/>
      <c r="I53" s="352">
        <f t="shared" si="23"/>
        <v>2378798.1</v>
      </c>
      <c r="J53" s="352">
        <f>ROUND(+((G53/'SUPUESTOS GASTOS'!$F$12)*E53),0)</f>
        <v>6422755</v>
      </c>
      <c r="K53" s="352">
        <f>ROUND(+((I53*E53)/'SUPUESTOS GASTOS'!$F$10),0)</f>
        <v>535230</v>
      </c>
      <c r="L53" s="352">
        <f t="shared" si="19"/>
        <v>22836.461760000002</v>
      </c>
      <c r="M53" s="352">
        <f t="shared" si="24"/>
        <v>535230</v>
      </c>
      <c r="N53" s="352">
        <f t="shared" si="25"/>
        <v>267615</v>
      </c>
      <c r="O53" s="352">
        <f>ROUNDUP((+$J53)*'SUPUESTOS GASTOS'!$F$19,-3)</f>
        <v>771000</v>
      </c>
      <c r="P53" s="352">
        <f>ROUNDUP((+$J53)*'SUPUESTOS GASTOS'!$F$20,-3)</f>
        <v>546000</v>
      </c>
      <c r="Q53" s="373">
        <f>ROUNDUP((+$J53)*'SUPUESTOS GASTOS'!$F$24,-3)</f>
        <v>280000</v>
      </c>
      <c r="R53" s="352">
        <f t="shared" si="20"/>
        <v>256910.2</v>
      </c>
      <c r="S53" s="352">
        <f t="shared" si="21"/>
        <v>128455.1</v>
      </c>
      <c r="T53" s="352">
        <f t="shared" si="22"/>
        <v>192682.65</v>
      </c>
      <c r="U53" s="352">
        <f t="shared" si="26"/>
        <v>9958714.411759999</v>
      </c>
      <c r="V53" s="352"/>
      <c r="W53" s="431">
        <f t="shared" si="27"/>
        <v>9958714.411759999</v>
      </c>
      <c r="Y53" s="531">
        <v>0.0435</v>
      </c>
    </row>
    <row r="54" spans="1:25" ht="15">
      <c r="A54" s="337">
        <v>34</v>
      </c>
      <c r="B54" s="383" t="s">
        <v>233</v>
      </c>
      <c r="C54" s="351">
        <v>44572</v>
      </c>
      <c r="D54" s="351">
        <v>44651</v>
      </c>
      <c r="E54" s="384">
        <f t="shared" si="28"/>
        <v>81</v>
      </c>
      <c r="F54" s="352">
        <v>2265522</v>
      </c>
      <c r="G54" s="352">
        <f>+F54*(1+'SUPUESTOS GASTOS'!$F$6)</f>
        <v>2378798.1</v>
      </c>
      <c r="H54" s="352"/>
      <c r="I54" s="352">
        <f t="shared" si="23"/>
        <v>2378798.1</v>
      </c>
      <c r="J54" s="352">
        <f>ROUND(+((G54/'SUPUESTOS GASTOS'!$F$12)*E54),0)</f>
        <v>6422755</v>
      </c>
      <c r="K54" s="352">
        <f>ROUND(+((I54*E54)/'SUPUESTOS GASTOS'!$F$10),0)</f>
        <v>535230</v>
      </c>
      <c r="L54" s="352">
        <f t="shared" si="19"/>
        <v>22836.461760000002</v>
      </c>
      <c r="M54" s="352">
        <f t="shared" si="24"/>
        <v>535230</v>
      </c>
      <c r="N54" s="352">
        <f t="shared" si="25"/>
        <v>267615</v>
      </c>
      <c r="O54" s="352">
        <f>ROUNDUP((+$J54)*'SUPUESTOS GASTOS'!$F$19,-3)</f>
        <v>771000</v>
      </c>
      <c r="P54" s="352">
        <f>ROUNDUP((+$J54)*'SUPUESTOS GASTOS'!$F$20,-3)</f>
        <v>546000</v>
      </c>
      <c r="Q54" s="373">
        <f>ROUNDUP((+$J54)*'SUPUESTOS GASTOS'!$F$24,-3)</f>
        <v>280000</v>
      </c>
      <c r="R54" s="352">
        <f t="shared" si="20"/>
        <v>256910.2</v>
      </c>
      <c r="S54" s="352">
        <f t="shared" si="21"/>
        <v>128455.1</v>
      </c>
      <c r="T54" s="352">
        <f t="shared" si="22"/>
        <v>192682.65</v>
      </c>
      <c r="U54" s="352">
        <f t="shared" si="26"/>
        <v>9958714.411759999</v>
      </c>
      <c r="V54" s="352"/>
      <c r="W54" s="431">
        <f t="shared" si="27"/>
        <v>9958714.411759999</v>
      </c>
      <c r="Y54" s="531">
        <v>0.0435</v>
      </c>
    </row>
    <row r="55" spans="1:25" ht="15">
      <c r="A55" s="337">
        <v>35</v>
      </c>
      <c r="B55" s="383" t="s">
        <v>234</v>
      </c>
      <c r="C55" s="351">
        <v>44572</v>
      </c>
      <c r="D55" s="351">
        <v>44651</v>
      </c>
      <c r="E55" s="384">
        <f t="shared" si="28"/>
        <v>81</v>
      </c>
      <c r="F55" s="352">
        <v>2265522</v>
      </c>
      <c r="G55" s="352">
        <f>+F55*(1+'SUPUESTOS GASTOS'!$F$6)</f>
        <v>2378798.1</v>
      </c>
      <c r="H55" s="352"/>
      <c r="I55" s="352">
        <f t="shared" si="23"/>
        <v>2378798.1</v>
      </c>
      <c r="J55" s="352">
        <f>ROUND(+((G55/'SUPUESTOS GASTOS'!$F$12)*E55),0)</f>
        <v>6422755</v>
      </c>
      <c r="K55" s="352">
        <f>ROUND(+((I55*E55)/'SUPUESTOS GASTOS'!$F$10),0)</f>
        <v>535230</v>
      </c>
      <c r="L55" s="352">
        <f t="shared" si="19"/>
        <v>22836.461760000002</v>
      </c>
      <c r="M55" s="352">
        <f t="shared" si="24"/>
        <v>535230</v>
      </c>
      <c r="N55" s="352">
        <f t="shared" si="25"/>
        <v>267615</v>
      </c>
      <c r="O55" s="352">
        <f>ROUNDUP((+$J55)*'SUPUESTOS GASTOS'!$F$19,-3)</f>
        <v>771000</v>
      </c>
      <c r="P55" s="352">
        <f>ROUNDUP((+$J55)*'SUPUESTOS GASTOS'!$F$20,-3)</f>
        <v>546000</v>
      </c>
      <c r="Q55" s="373">
        <f>ROUNDUP((+$J55)*'SUPUESTOS GASTOS'!$F$24,-3)</f>
        <v>280000</v>
      </c>
      <c r="R55" s="352">
        <f t="shared" si="20"/>
        <v>256910.2</v>
      </c>
      <c r="S55" s="352">
        <f t="shared" si="21"/>
        <v>128455.1</v>
      </c>
      <c r="T55" s="352">
        <f t="shared" si="22"/>
        <v>192682.65</v>
      </c>
      <c r="U55" s="352">
        <f t="shared" si="26"/>
        <v>9958714.411759999</v>
      </c>
      <c r="V55" s="352"/>
      <c r="W55" s="431">
        <f t="shared" si="27"/>
        <v>9958714.411759999</v>
      </c>
      <c r="Y55" s="531">
        <v>0.0435</v>
      </c>
    </row>
    <row r="56" spans="1:25" ht="15">
      <c r="A56" s="337">
        <v>36</v>
      </c>
      <c r="B56" s="383" t="s">
        <v>235</v>
      </c>
      <c r="C56" s="351">
        <v>44572</v>
      </c>
      <c r="D56" s="351">
        <v>44651</v>
      </c>
      <c r="E56" s="384">
        <f t="shared" si="28"/>
        <v>81</v>
      </c>
      <c r="F56" s="352">
        <v>2265522</v>
      </c>
      <c r="G56" s="352">
        <f>+F56*(1+'SUPUESTOS GASTOS'!$F$6)</f>
        <v>2378798.1</v>
      </c>
      <c r="H56" s="352"/>
      <c r="I56" s="352">
        <f t="shared" si="23"/>
        <v>2378798.1</v>
      </c>
      <c r="J56" s="352">
        <f>ROUND(+((G56/'SUPUESTOS GASTOS'!$F$12)*E56),0)</f>
        <v>6422755</v>
      </c>
      <c r="K56" s="352">
        <f>ROUND(+((I56*E56)/'SUPUESTOS GASTOS'!$F$10),0)</f>
        <v>535230</v>
      </c>
      <c r="L56" s="352">
        <f t="shared" si="19"/>
        <v>22836.461760000002</v>
      </c>
      <c r="M56" s="352">
        <f t="shared" si="24"/>
        <v>535230</v>
      </c>
      <c r="N56" s="352">
        <f t="shared" si="25"/>
        <v>267615</v>
      </c>
      <c r="O56" s="352">
        <f>ROUNDUP((+$J56)*'SUPUESTOS GASTOS'!$F$19,-3)</f>
        <v>771000</v>
      </c>
      <c r="P56" s="352">
        <f>ROUNDUP((+$J56)*'SUPUESTOS GASTOS'!$F$20,-3)</f>
        <v>546000</v>
      </c>
      <c r="Q56" s="373">
        <f>ROUNDUP((+$J56)*'SUPUESTOS GASTOS'!$F$24,-3)</f>
        <v>280000</v>
      </c>
      <c r="R56" s="352">
        <f t="shared" si="20"/>
        <v>256910.2</v>
      </c>
      <c r="S56" s="352">
        <f t="shared" si="21"/>
        <v>128455.1</v>
      </c>
      <c r="T56" s="352">
        <f t="shared" si="22"/>
        <v>192682.65</v>
      </c>
      <c r="U56" s="352">
        <f t="shared" si="26"/>
        <v>9958714.411759999</v>
      </c>
      <c r="V56" s="352"/>
      <c r="W56" s="431">
        <f t="shared" si="27"/>
        <v>9958714.411759999</v>
      </c>
      <c r="Y56" s="531">
        <v>0.0435</v>
      </c>
    </row>
    <row r="57" spans="1:25" ht="15">
      <c r="A57" s="337">
        <v>37</v>
      </c>
      <c r="B57" s="383" t="s">
        <v>236</v>
      </c>
      <c r="C57" s="351">
        <v>44572</v>
      </c>
      <c r="D57" s="351">
        <v>44651</v>
      </c>
      <c r="E57" s="384">
        <f t="shared" si="28"/>
        <v>81</v>
      </c>
      <c r="F57" s="352">
        <v>2265522</v>
      </c>
      <c r="G57" s="352">
        <f>+F57*(1+'SUPUESTOS GASTOS'!$F$6)</f>
        <v>2378798.1</v>
      </c>
      <c r="H57" s="352"/>
      <c r="I57" s="352">
        <f t="shared" si="23"/>
        <v>2378798.1</v>
      </c>
      <c r="J57" s="352">
        <f>ROUND(+((G57/'SUPUESTOS GASTOS'!$F$12)*E57),0)</f>
        <v>6422755</v>
      </c>
      <c r="K57" s="352">
        <f>ROUND(+((I57*E57)/'SUPUESTOS GASTOS'!$F$10),0)</f>
        <v>535230</v>
      </c>
      <c r="L57" s="352">
        <f t="shared" si="19"/>
        <v>22836.461760000002</v>
      </c>
      <c r="M57" s="352">
        <f t="shared" si="24"/>
        <v>535230</v>
      </c>
      <c r="N57" s="352">
        <f t="shared" si="25"/>
        <v>267615</v>
      </c>
      <c r="O57" s="352">
        <f>ROUNDUP((+$J57)*'SUPUESTOS GASTOS'!$F$19,-3)</f>
        <v>771000</v>
      </c>
      <c r="P57" s="352">
        <f>ROUNDUP((+$J57)*'SUPUESTOS GASTOS'!$F$20,-3)</f>
        <v>546000</v>
      </c>
      <c r="Q57" s="373">
        <f>ROUNDUP((+$J57)*'SUPUESTOS GASTOS'!$F$24,-3)</f>
        <v>280000</v>
      </c>
      <c r="R57" s="352">
        <f t="shared" si="20"/>
        <v>256910.2</v>
      </c>
      <c r="S57" s="352">
        <f t="shared" si="21"/>
        <v>128455.1</v>
      </c>
      <c r="T57" s="352">
        <f t="shared" si="22"/>
        <v>192682.65</v>
      </c>
      <c r="U57" s="352">
        <f t="shared" si="26"/>
        <v>9958714.411759999</v>
      </c>
      <c r="V57" s="352"/>
      <c r="W57" s="431">
        <f t="shared" si="27"/>
        <v>9958714.411759999</v>
      </c>
      <c r="Y57" s="531">
        <v>0.0435</v>
      </c>
    </row>
    <row r="58" spans="1:25" ht="15">
      <c r="A58" s="337">
        <v>38</v>
      </c>
      <c r="B58" s="383" t="s">
        <v>237</v>
      </c>
      <c r="C58" s="351">
        <v>44572</v>
      </c>
      <c r="D58" s="351">
        <v>44651</v>
      </c>
      <c r="E58" s="384">
        <f t="shared" si="28"/>
        <v>81</v>
      </c>
      <c r="F58" s="352">
        <v>2265522</v>
      </c>
      <c r="G58" s="352">
        <f>+F58*(1+'SUPUESTOS GASTOS'!$F$6)</f>
        <v>2378798.1</v>
      </c>
      <c r="H58" s="352"/>
      <c r="I58" s="352">
        <f t="shared" si="23"/>
        <v>2378798.1</v>
      </c>
      <c r="J58" s="352">
        <f>ROUND(+((G58/'SUPUESTOS GASTOS'!$F$12)*E58),0)</f>
        <v>6422755</v>
      </c>
      <c r="K58" s="352">
        <f>ROUND(+((I58*E58)/'SUPUESTOS GASTOS'!$F$10),0)</f>
        <v>535230</v>
      </c>
      <c r="L58" s="352">
        <f t="shared" si="19"/>
        <v>22836.461760000002</v>
      </c>
      <c r="M58" s="352">
        <f t="shared" si="24"/>
        <v>535230</v>
      </c>
      <c r="N58" s="352">
        <f t="shared" si="25"/>
        <v>267615</v>
      </c>
      <c r="O58" s="352">
        <f>ROUNDUP((+$J58)*'SUPUESTOS GASTOS'!$F$19,-3)</f>
        <v>771000</v>
      </c>
      <c r="P58" s="352">
        <f>ROUNDUP((+$J58)*'SUPUESTOS GASTOS'!$F$20,-3)</f>
        <v>546000</v>
      </c>
      <c r="Q58" s="373">
        <f>ROUNDUP((+$J58)*'SUPUESTOS GASTOS'!$F$24,-3)</f>
        <v>280000</v>
      </c>
      <c r="R58" s="352">
        <f t="shared" si="20"/>
        <v>256910.2</v>
      </c>
      <c r="S58" s="352">
        <f t="shared" si="21"/>
        <v>128455.1</v>
      </c>
      <c r="T58" s="352">
        <f t="shared" si="22"/>
        <v>192682.65</v>
      </c>
      <c r="U58" s="352">
        <f t="shared" si="26"/>
        <v>9958714.411759999</v>
      </c>
      <c r="V58" s="352"/>
      <c r="W58" s="431">
        <f t="shared" si="27"/>
        <v>9958714.411759999</v>
      </c>
      <c r="Y58" s="531">
        <v>0.0435</v>
      </c>
    </row>
    <row r="59" spans="1:25" ht="15">
      <c r="A59" s="337">
        <v>39</v>
      </c>
      <c r="B59" s="383" t="s">
        <v>238</v>
      </c>
      <c r="C59" s="351">
        <v>44572</v>
      </c>
      <c r="D59" s="351">
        <v>44651</v>
      </c>
      <c r="E59" s="384">
        <f t="shared" si="28"/>
        <v>81</v>
      </c>
      <c r="F59" s="352">
        <v>2265522</v>
      </c>
      <c r="G59" s="352">
        <f>+F59*(1+'SUPUESTOS GASTOS'!$F$6)</f>
        <v>2378798.1</v>
      </c>
      <c r="H59" s="352"/>
      <c r="I59" s="352">
        <f t="shared" si="23"/>
        <v>2378798.1</v>
      </c>
      <c r="J59" s="352">
        <f>ROUND(+((G59/'SUPUESTOS GASTOS'!$F$12)*E59),0)</f>
        <v>6422755</v>
      </c>
      <c r="K59" s="352">
        <f>ROUND(+((I59*E59)/'SUPUESTOS GASTOS'!$F$10),0)</f>
        <v>535230</v>
      </c>
      <c r="L59" s="352">
        <f t="shared" si="19"/>
        <v>22836.461760000002</v>
      </c>
      <c r="M59" s="352">
        <f t="shared" si="24"/>
        <v>535230</v>
      </c>
      <c r="N59" s="352">
        <f t="shared" si="25"/>
        <v>267615</v>
      </c>
      <c r="O59" s="352">
        <f>ROUNDUP((+$J59)*'SUPUESTOS GASTOS'!$F$19,-3)</f>
        <v>771000</v>
      </c>
      <c r="P59" s="352">
        <f>ROUNDUP((+$J59)*'SUPUESTOS GASTOS'!$F$20,-3)</f>
        <v>546000</v>
      </c>
      <c r="Q59" s="373">
        <f>ROUNDUP((+$J59)*'SUPUESTOS GASTOS'!$F$24,-3)</f>
        <v>280000</v>
      </c>
      <c r="R59" s="352">
        <f t="shared" si="20"/>
        <v>256910.2</v>
      </c>
      <c r="S59" s="352">
        <f t="shared" si="21"/>
        <v>128455.1</v>
      </c>
      <c r="T59" s="352">
        <f t="shared" si="22"/>
        <v>192682.65</v>
      </c>
      <c r="U59" s="352">
        <f t="shared" si="26"/>
        <v>9958714.411759999</v>
      </c>
      <c r="V59" s="352"/>
      <c r="W59" s="431">
        <f t="shared" si="27"/>
        <v>9958714.411759999</v>
      </c>
      <c r="Y59" s="531">
        <v>0.0435</v>
      </c>
    </row>
    <row r="60" spans="1:25" ht="15">
      <c r="A60" s="337">
        <v>40</v>
      </c>
      <c r="B60" s="383" t="s">
        <v>239</v>
      </c>
      <c r="C60" s="351">
        <v>44572</v>
      </c>
      <c r="D60" s="351">
        <v>44651</v>
      </c>
      <c r="E60" s="384">
        <f t="shared" si="28"/>
        <v>81</v>
      </c>
      <c r="F60" s="352">
        <v>2265522</v>
      </c>
      <c r="G60" s="352">
        <f>+F60*(1+'SUPUESTOS GASTOS'!$F$6)</f>
        <v>2378798.1</v>
      </c>
      <c r="H60" s="352"/>
      <c r="I60" s="352">
        <f t="shared" si="23"/>
        <v>2378798.1</v>
      </c>
      <c r="J60" s="352">
        <f>ROUND(+((G60/'SUPUESTOS GASTOS'!$F$12)*E60),0)</f>
        <v>6422755</v>
      </c>
      <c r="K60" s="352">
        <f>ROUND(+((I60*E60)/'SUPUESTOS GASTOS'!$F$10),0)</f>
        <v>535230</v>
      </c>
      <c r="L60" s="352">
        <f t="shared" si="19"/>
        <v>22836.461760000002</v>
      </c>
      <c r="M60" s="352">
        <f t="shared" si="24"/>
        <v>535230</v>
      </c>
      <c r="N60" s="352">
        <f t="shared" si="25"/>
        <v>267615</v>
      </c>
      <c r="O60" s="352">
        <f>ROUNDUP((+$J60)*'SUPUESTOS GASTOS'!$F$19,-3)</f>
        <v>771000</v>
      </c>
      <c r="P60" s="352">
        <f>ROUNDUP((+$J60)*'SUPUESTOS GASTOS'!$F$20,-3)</f>
        <v>546000</v>
      </c>
      <c r="Q60" s="373">
        <f>ROUNDUP((+$J60)*'SUPUESTOS GASTOS'!$F$24,-3)</f>
        <v>280000</v>
      </c>
      <c r="R60" s="352">
        <f t="shared" si="20"/>
        <v>256910.2</v>
      </c>
      <c r="S60" s="352">
        <f t="shared" si="21"/>
        <v>128455.1</v>
      </c>
      <c r="T60" s="352">
        <f t="shared" si="22"/>
        <v>192682.65</v>
      </c>
      <c r="U60" s="352">
        <f t="shared" si="26"/>
        <v>9958714.411759999</v>
      </c>
      <c r="V60" s="352"/>
      <c r="W60" s="431">
        <f t="shared" si="27"/>
        <v>9958714.411759999</v>
      </c>
      <c r="Y60" s="531">
        <v>0.0435</v>
      </c>
    </row>
    <row r="61" spans="1:25" ht="15">
      <c r="A61" s="337">
        <v>41</v>
      </c>
      <c r="B61" s="383" t="s">
        <v>301</v>
      </c>
      <c r="C61" s="351">
        <v>44572</v>
      </c>
      <c r="D61" s="351">
        <v>44651</v>
      </c>
      <c r="E61" s="384">
        <f t="shared" si="28"/>
        <v>81</v>
      </c>
      <c r="F61" s="352">
        <v>2265522</v>
      </c>
      <c r="G61" s="352">
        <f>+F61*(1+'SUPUESTOS GASTOS'!$F$6)</f>
        <v>2378798.1</v>
      </c>
      <c r="H61" s="352"/>
      <c r="I61" s="352">
        <f t="shared" si="23"/>
        <v>2378798.1</v>
      </c>
      <c r="J61" s="352">
        <f>ROUND(+((G61/'SUPUESTOS GASTOS'!$F$12)*E61),0)</f>
        <v>6422755</v>
      </c>
      <c r="K61" s="352">
        <f>ROUND(+((I61*E61)/'SUPUESTOS GASTOS'!$F$10),0)</f>
        <v>535230</v>
      </c>
      <c r="L61" s="352">
        <f t="shared" si="19"/>
        <v>22836.461760000002</v>
      </c>
      <c r="M61" s="352">
        <f t="shared" si="24"/>
        <v>535230</v>
      </c>
      <c r="N61" s="352">
        <f t="shared" si="25"/>
        <v>267615</v>
      </c>
      <c r="O61" s="352">
        <f>ROUNDUP((+$J61)*'SUPUESTOS GASTOS'!$F$19,-3)</f>
        <v>771000</v>
      </c>
      <c r="P61" s="352">
        <f>ROUNDUP((+$J61)*'SUPUESTOS GASTOS'!$F$20,-3)</f>
        <v>546000</v>
      </c>
      <c r="Q61" s="373">
        <f>ROUNDUP((+$J61)*'SUPUESTOS GASTOS'!$F$24,-3)</f>
        <v>280000</v>
      </c>
      <c r="R61" s="352">
        <f t="shared" si="20"/>
        <v>256910.2</v>
      </c>
      <c r="S61" s="352">
        <f t="shared" si="21"/>
        <v>128455.1</v>
      </c>
      <c r="T61" s="352">
        <f t="shared" si="22"/>
        <v>192682.65</v>
      </c>
      <c r="U61" s="352">
        <f t="shared" si="26"/>
        <v>9958714.411759999</v>
      </c>
      <c r="V61" s="352"/>
      <c r="W61" s="431">
        <f t="shared" si="27"/>
        <v>9958714.411759999</v>
      </c>
      <c r="Y61" s="531">
        <v>0.0435</v>
      </c>
    </row>
    <row r="62" spans="1:25" ht="15">
      <c r="A62" s="337">
        <v>42</v>
      </c>
      <c r="B62" s="383" t="s">
        <v>302</v>
      </c>
      <c r="C62" s="351">
        <v>44572</v>
      </c>
      <c r="D62" s="351">
        <v>44651</v>
      </c>
      <c r="E62" s="384">
        <f t="shared" si="28"/>
        <v>81</v>
      </c>
      <c r="F62" s="352">
        <v>2265522</v>
      </c>
      <c r="G62" s="352">
        <f>+F62*(1+'SUPUESTOS GASTOS'!$F$6)</f>
        <v>2378798.1</v>
      </c>
      <c r="H62" s="352"/>
      <c r="I62" s="352">
        <f t="shared" si="23"/>
        <v>2378798.1</v>
      </c>
      <c r="J62" s="352">
        <f>ROUND(+((G62/'SUPUESTOS GASTOS'!$F$12)*E62),0)</f>
        <v>6422755</v>
      </c>
      <c r="K62" s="352">
        <f>ROUND(+((I62*E62)/'SUPUESTOS GASTOS'!$F$10),0)</f>
        <v>535230</v>
      </c>
      <c r="L62" s="352">
        <f t="shared" si="19"/>
        <v>22836.461760000002</v>
      </c>
      <c r="M62" s="352">
        <f t="shared" si="24"/>
        <v>535230</v>
      </c>
      <c r="N62" s="352">
        <f t="shared" si="25"/>
        <v>267615</v>
      </c>
      <c r="O62" s="352">
        <f>ROUNDUP((+$J62)*'SUPUESTOS GASTOS'!$F$19,-3)</f>
        <v>771000</v>
      </c>
      <c r="P62" s="352">
        <f>ROUNDUP((+$J62)*'SUPUESTOS GASTOS'!$F$20,-3)</f>
        <v>546000</v>
      </c>
      <c r="Q62" s="373">
        <f>ROUNDUP((+$J62)*'SUPUESTOS GASTOS'!$F$24,-3)</f>
        <v>280000</v>
      </c>
      <c r="R62" s="352">
        <f t="shared" si="20"/>
        <v>256910.2</v>
      </c>
      <c r="S62" s="352">
        <f t="shared" si="21"/>
        <v>128455.1</v>
      </c>
      <c r="T62" s="352">
        <f t="shared" si="22"/>
        <v>192682.65</v>
      </c>
      <c r="U62" s="352">
        <f t="shared" si="26"/>
        <v>9958714.411759999</v>
      </c>
      <c r="V62" s="352"/>
      <c r="W62" s="431">
        <f t="shared" si="27"/>
        <v>9958714.411759999</v>
      </c>
      <c r="Y62" s="531">
        <v>0.0435</v>
      </c>
    </row>
    <row r="63" spans="1:25" ht="15">
      <c r="A63" s="337">
        <v>43</v>
      </c>
      <c r="B63" s="383" t="s">
        <v>303</v>
      </c>
      <c r="C63" s="351">
        <v>44572</v>
      </c>
      <c r="D63" s="351">
        <v>44651</v>
      </c>
      <c r="E63" s="384">
        <f t="shared" si="28"/>
        <v>81</v>
      </c>
      <c r="F63" s="352">
        <v>2265522</v>
      </c>
      <c r="G63" s="352">
        <f>+F63*(1+'SUPUESTOS GASTOS'!$F$6)</f>
        <v>2378798.1</v>
      </c>
      <c r="H63" s="352"/>
      <c r="I63" s="352">
        <f t="shared" si="23"/>
        <v>2378798.1</v>
      </c>
      <c r="J63" s="352">
        <f>ROUND(+((G63/'SUPUESTOS GASTOS'!$F$12)*E63),0)</f>
        <v>6422755</v>
      </c>
      <c r="K63" s="352">
        <f>ROUND(+((I63*E63)/'SUPUESTOS GASTOS'!$F$10),0)</f>
        <v>535230</v>
      </c>
      <c r="L63" s="352">
        <f t="shared" si="19"/>
        <v>22836.461760000002</v>
      </c>
      <c r="M63" s="352">
        <f t="shared" si="24"/>
        <v>535230</v>
      </c>
      <c r="N63" s="352">
        <f t="shared" si="25"/>
        <v>267615</v>
      </c>
      <c r="O63" s="352">
        <f>ROUNDUP((+$J63)*'SUPUESTOS GASTOS'!$F$19,-3)</f>
        <v>771000</v>
      </c>
      <c r="P63" s="352">
        <f>ROUNDUP((+$J63)*'SUPUESTOS GASTOS'!$F$20,-3)</f>
        <v>546000</v>
      </c>
      <c r="Q63" s="373">
        <f>ROUNDUP((+$J63)*'SUPUESTOS GASTOS'!$F$24,-3)</f>
        <v>280000</v>
      </c>
      <c r="R63" s="352">
        <f t="shared" si="20"/>
        <v>256910.2</v>
      </c>
      <c r="S63" s="352">
        <f t="shared" si="21"/>
        <v>128455.1</v>
      </c>
      <c r="T63" s="352">
        <f t="shared" si="22"/>
        <v>192682.65</v>
      </c>
      <c r="U63" s="352">
        <f t="shared" si="26"/>
        <v>9958714.411759999</v>
      </c>
      <c r="V63" s="352"/>
      <c r="W63" s="431">
        <f t="shared" si="27"/>
        <v>9958714.411759999</v>
      </c>
      <c r="Y63" s="531">
        <v>0.0435</v>
      </c>
    </row>
    <row r="64" spans="1:25" ht="15">
      <c r="A64" s="337">
        <v>44</v>
      </c>
      <c r="B64" s="383" t="s">
        <v>304</v>
      </c>
      <c r="C64" s="351">
        <v>44572</v>
      </c>
      <c r="D64" s="351">
        <v>44651</v>
      </c>
      <c r="E64" s="384">
        <f t="shared" si="28"/>
        <v>81</v>
      </c>
      <c r="F64" s="352">
        <v>2265522</v>
      </c>
      <c r="G64" s="352">
        <f>+F64*(1+'SUPUESTOS GASTOS'!$F$6)</f>
        <v>2378798.1</v>
      </c>
      <c r="H64" s="352"/>
      <c r="I64" s="352">
        <f t="shared" si="23"/>
        <v>2378798.1</v>
      </c>
      <c r="J64" s="352">
        <f>ROUND(+((G64/'SUPUESTOS GASTOS'!$F$12)*E64),0)</f>
        <v>6422755</v>
      </c>
      <c r="K64" s="352">
        <f>ROUND(+((I64*E64)/'SUPUESTOS GASTOS'!$F$10),0)</f>
        <v>535230</v>
      </c>
      <c r="L64" s="352">
        <f t="shared" si="19"/>
        <v>22836.461760000002</v>
      </c>
      <c r="M64" s="352">
        <f t="shared" si="24"/>
        <v>535230</v>
      </c>
      <c r="N64" s="352">
        <f t="shared" si="25"/>
        <v>267615</v>
      </c>
      <c r="O64" s="352">
        <f>ROUNDUP((+$J64)*'SUPUESTOS GASTOS'!$F$19,-3)</f>
        <v>771000</v>
      </c>
      <c r="P64" s="352">
        <f>ROUNDUP((+$J64)*'SUPUESTOS GASTOS'!$F$20,-3)</f>
        <v>546000</v>
      </c>
      <c r="Q64" s="373">
        <f>ROUNDUP((+$J64)*'SUPUESTOS GASTOS'!$F$24,-3)</f>
        <v>280000</v>
      </c>
      <c r="R64" s="352">
        <f t="shared" si="20"/>
        <v>256910.2</v>
      </c>
      <c r="S64" s="352">
        <f t="shared" si="21"/>
        <v>128455.1</v>
      </c>
      <c r="T64" s="352">
        <f t="shared" si="22"/>
        <v>192682.65</v>
      </c>
      <c r="U64" s="352">
        <f t="shared" si="26"/>
        <v>9958714.411759999</v>
      </c>
      <c r="V64" s="352"/>
      <c r="W64" s="431">
        <f t="shared" si="27"/>
        <v>9958714.411759999</v>
      </c>
      <c r="Y64" s="531">
        <v>0.0435</v>
      </c>
    </row>
    <row r="65" spans="1:25" ht="15">
      <c r="A65" s="337">
        <v>45</v>
      </c>
      <c r="B65" s="383" t="s">
        <v>305</v>
      </c>
      <c r="C65" s="351">
        <v>44572</v>
      </c>
      <c r="D65" s="351">
        <v>44651</v>
      </c>
      <c r="E65" s="384">
        <f t="shared" si="28"/>
        <v>81</v>
      </c>
      <c r="F65" s="352">
        <v>2265522</v>
      </c>
      <c r="G65" s="352">
        <f>+F65*(1+'SUPUESTOS GASTOS'!$F$6)</f>
        <v>2378798.1</v>
      </c>
      <c r="H65" s="352"/>
      <c r="I65" s="352">
        <f t="shared" si="23"/>
        <v>2378798.1</v>
      </c>
      <c r="J65" s="352">
        <f>ROUND(+((G65/'SUPUESTOS GASTOS'!$F$12)*E65),0)</f>
        <v>6422755</v>
      </c>
      <c r="K65" s="352">
        <f>ROUND(+((I65*E65)/'SUPUESTOS GASTOS'!$F$10),0)</f>
        <v>535230</v>
      </c>
      <c r="L65" s="352">
        <f t="shared" si="19"/>
        <v>22836.461760000002</v>
      </c>
      <c r="M65" s="352">
        <f t="shared" si="24"/>
        <v>535230</v>
      </c>
      <c r="N65" s="352">
        <f t="shared" si="25"/>
        <v>267615</v>
      </c>
      <c r="O65" s="352">
        <f>ROUNDUP((+$J65)*'SUPUESTOS GASTOS'!$F$19,-3)</f>
        <v>771000</v>
      </c>
      <c r="P65" s="352">
        <f>ROUNDUP((+$J65)*'SUPUESTOS GASTOS'!$F$20,-3)</f>
        <v>546000</v>
      </c>
      <c r="Q65" s="373">
        <f>ROUNDUP((+$J65)*'SUPUESTOS GASTOS'!$F$24,-3)</f>
        <v>280000</v>
      </c>
      <c r="R65" s="352">
        <f t="shared" si="20"/>
        <v>256910.2</v>
      </c>
      <c r="S65" s="352">
        <f t="shared" si="21"/>
        <v>128455.1</v>
      </c>
      <c r="T65" s="352">
        <f t="shared" si="22"/>
        <v>192682.65</v>
      </c>
      <c r="U65" s="352">
        <f t="shared" si="26"/>
        <v>9958714.411759999</v>
      </c>
      <c r="V65" s="352"/>
      <c r="W65" s="431">
        <f t="shared" si="27"/>
        <v>9958714.411759999</v>
      </c>
      <c r="Y65" s="531">
        <v>0.0435</v>
      </c>
    </row>
    <row r="66" spans="1:25" ht="15">
      <c r="A66" s="337">
        <v>46</v>
      </c>
      <c r="B66" s="383" t="s">
        <v>306</v>
      </c>
      <c r="C66" s="351">
        <v>44572</v>
      </c>
      <c r="D66" s="351">
        <v>44651</v>
      </c>
      <c r="E66" s="384">
        <f t="shared" si="28"/>
        <v>81</v>
      </c>
      <c r="F66" s="352">
        <v>2265522</v>
      </c>
      <c r="G66" s="352">
        <f>+F66*(1+'SUPUESTOS GASTOS'!$F$6)</f>
        <v>2378798.1</v>
      </c>
      <c r="H66" s="352"/>
      <c r="I66" s="352">
        <f t="shared" si="23"/>
        <v>2378798.1</v>
      </c>
      <c r="J66" s="352">
        <f>ROUND(+((G66/'SUPUESTOS GASTOS'!$F$12)*E66),0)</f>
        <v>6422755</v>
      </c>
      <c r="K66" s="352">
        <f>ROUND(+((I66*E66)/'SUPUESTOS GASTOS'!$F$10),0)</f>
        <v>535230</v>
      </c>
      <c r="L66" s="352">
        <f t="shared" si="19"/>
        <v>22836.461760000002</v>
      </c>
      <c r="M66" s="352">
        <f t="shared" si="24"/>
        <v>535230</v>
      </c>
      <c r="N66" s="352">
        <f t="shared" si="25"/>
        <v>267615</v>
      </c>
      <c r="O66" s="352">
        <f>ROUNDUP((+$J66)*'SUPUESTOS GASTOS'!$F$19,-3)</f>
        <v>771000</v>
      </c>
      <c r="P66" s="352">
        <f>ROUNDUP((+$J66)*'SUPUESTOS GASTOS'!$F$20,-3)</f>
        <v>546000</v>
      </c>
      <c r="Q66" s="373">
        <f>ROUNDUP((+$J66)*'SUPUESTOS GASTOS'!$F$24,-3)</f>
        <v>280000</v>
      </c>
      <c r="R66" s="352">
        <f t="shared" si="20"/>
        <v>256910.2</v>
      </c>
      <c r="S66" s="352">
        <f t="shared" si="21"/>
        <v>128455.1</v>
      </c>
      <c r="T66" s="352">
        <f t="shared" si="22"/>
        <v>192682.65</v>
      </c>
      <c r="U66" s="352">
        <f t="shared" si="26"/>
        <v>9958714.411759999</v>
      </c>
      <c r="V66" s="352"/>
      <c r="W66" s="431">
        <f t="shared" si="27"/>
        <v>9958714.411759999</v>
      </c>
      <c r="Y66" s="531">
        <v>0.0435</v>
      </c>
    </row>
    <row r="67" spans="1:25" ht="15">
      <c r="A67" s="337">
        <v>47</v>
      </c>
      <c r="B67" s="383" t="s">
        <v>307</v>
      </c>
      <c r="C67" s="351">
        <v>44572</v>
      </c>
      <c r="D67" s="351">
        <v>44651</v>
      </c>
      <c r="E67" s="384">
        <f t="shared" si="28"/>
        <v>81</v>
      </c>
      <c r="F67" s="352">
        <v>2265522</v>
      </c>
      <c r="G67" s="352">
        <f>+F67*(1+'SUPUESTOS GASTOS'!$F$6)</f>
        <v>2378798.1</v>
      </c>
      <c r="H67" s="352"/>
      <c r="I67" s="352">
        <f t="shared" si="23"/>
        <v>2378798.1</v>
      </c>
      <c r="J67" s="352">
        <f>ROUND(+((G67/'SUPUESTOS GASTOS'!$F$12)*E67),0)</f>
        <v>6422755</v>
      </c>
      <c r="K67" s="352">
        <f>ROUND(+((I67*E67)/'SUPUESTOS GASTOS'!$F$10),0)</f>
        <v>535230</v>
      </c>
      <c r="L67" s="352">
        <f t="shared" si="19"/>
        <v>22836.461760000002</v>
      </c>
      <c r="M67" s="352">
        <f t="shared" si="24"/>
        <v>535230</v>
      </c>
      <c r="N67" s="352">
        <f t="shared" si="25"/>
        <v>267615</v>
      </c>
      <c r="O67" s="352">
        <f>ROUNDUP((+$J67)*'SUPUESTOS GASTOS'!$F$19,-3)</f>
        <v>771000</v>
      </c>
      <c r="P67" s="352">
        <f>ROUNDUP((+$J67)*'SUPUESTOS GASTOS'!$F$20,-3)</f>
        <v>546000</v>
      </c>
      <c r="Q67" s="373">
        <f>ROUNDUP((+$J67)*'SUPUESTOS GASTOS'!$F$24,-3)</f>
        <v>280000</v>
      </c>
      <c r="R67" s="352">
        <f t="shared" si="20"/>
        <v>256910.2</v>
      </c>
      <c r="S67" s="352">
        <f t="shared" si="21"/>
        <v>128455.1</v>
      </c>
      <c r="T67" s="352">
        <f t="shared" si="22"/>
        <v>192682.65</v>
      </c>
      <c r="U67" s="352">
        <f t="shared" si="26"/>
        <v>9958714.411759999</v>
      </c>
      <c r="V67" s="352"/>
      <c r="W67" s="431">
        <f t="shared" si="27"/>
        <v>9958714.411759999</v>
      </c>
      <c r="Y67" s="531">
        <v>0.0435</v>
      </c>
    </row>
    <row r="68" spans="1:25" ht="15">
      <c r="A68" s="337">
        <v>48</v>
      </c>
      <c r="B68" s="383" t="s">
        <v>308</v>
      </c>
      <c r="C68" s="351">
        <v>44572</v>
      </c>
      <c r="D68" s="351">
        <v>44651</v>
      </c>
      <c r="E68" s="384">
        <f t="shared" si="28"/>
        <v>81</v>
      </c>
      <c r="F68" s="352">
        <v>2265522</v>
      </c>
      <c r="G68" s="352">
        <f>+F68*(1+'SUPUESTOS GASTOS'!$F$6)</f>
        <v>2378798.1</v>
      </c>
      <c r="H68" s="352"/>
      <c r="I68" s="352">
        <f t="shared" si="23"/>
        <v>2378798.1</v>
      </c>
      <c r="J68" s="352">
        <f>ROUND(+((G68/'SUPUESTOS GASTOS'!$F$12)*E68),0)</f>
        <v>6422755</v>
      </c>
      <c r="K68" s="352">
        <f>ROUND(+((I68*E68)/'SUPUESTOS GASTOS'!$F$10),0)</f>
        <v>535230</v>
      </c>
      <c r="L68" s="352">
        <f t="shared" si="19"/>
        <v>22836.461760000002</v>
      </c>
      <c r="M68" s="352">
        <f t="shared" si="24"/>
        <v>535230</v>
      </c>
      <c r="N68" s="352">
        <f t="shared" si="25"/>
        <v>267615</v>
      </c>
      <c r="O68" s="352">
        <f>ROUNDUP((+$J68)*'SUPUESTOS GASTOS'!$F$19,-3)</f>
        <v>771000</v>
      </c>
      <c r="P68" s="352">
        <f>ROUNDUP((+$J68)*'SUPUESTOS GASTOS'!$F$20,-3)</f>
        <v>546000</v>
      </c>
      <c r="Q68" s="373">
        <f>ROUNDUP((+$J68)*'SUPUESTOS GASTOS'!$F$24,-3)</f>
        <v>280000</v>
      </c>
      <c r="R68" s="352">
        <f t="shared" si="20"/>
        <v>256910.2</v>
      </c>
      <c r="S68" s="352">
        <f t="shared" si="21"/>
        <v>128455.1</v>
      </c>
      <c r="T68" s="352">
        <f t="shared" si="22"/>
        <v>192682.65</v>
      </c>
      <c r="U68" s="352">
        <f t="shared" si="26"/>
        <v>9958714.411759999</v>
      </c>
      <c r="V68" s="352"/>
      <c r="W68" s="431">
        <f t="shared" si="27"/>
        <v>9958714.411759999</v>
      </c>
      <c r="Y68" s="531">
        <v>0.0435</v>
      </c>
    </row>
    <row r="69" spans="1:25" ht="15">
      <c r="A69" s="337">
        <v>49</v>
      </c>
      <c r="B69" s="383" t="s">
        <v>309</v>
      </c>
      <c r="C69" s="351">
        <v>44572</v>
      </c>
      <c r="D69" s="351">
        <v>44651</v>
      </c>
      <c r="E69" s="384">
        <f t="shared" si="28"/>
        <v>81</v>
      </c>
      <c r="F69" s="352">
        <v>2265522</v>
      </c>
      <c r="G69" s="352">
        <f>+F69*(1+'SUPUESTOS GASTOS'!$F$6)</f>
        <v>2378798.1</v>
      </c>
      <c r="H69" s="352"/>
      <c r="I69" s="352">
        <f t="shared" si="23"/>
        <v>2378798.1</v>
      </c>
      <c r="J69" s="352">
        <f>ROUND(+((G69/'SUPUESTOS GASTOS'!$F$12)*E69),0)</f>
        <v>6422755</v>
      </c>
      <c r="K69" s="352">
        <f>ROUND(+((I69*E69)/'SUPUESTOS GASTOS'!$F$10),0)</f>
        <v>535230</v>
      </c>
      <c r="L69" s="352">
        <f t="shared" si="19"/>
        <v>22836.461760000002</v>
      </c>
      <c r="M69" s="352">
        <f t="shared" si="24"/>
        <v>535230</v>
      </c>
      <c r="N69" s="352">
        <f t="shared" si="25"/>
        <v>267615</v>
      </c>
      <c r="O69" s="352">
        <f>ROUNDUP((+$J69)*'SUPUESTOS GASTOS'!$F$19,-3)</f>
        <v>771000</v>
      </c>
      <c r="P69" s="352">
        <f>ROUNDUP((+$J69)*'SUPUESTOS GASTOS'!$F$20,-3)</f>
        <v>546000</v>
      </c>
      <c r="Q69" s="373">
        <f>ROUNDUP((+$J69)*'SUPUESTOS GASTOS'!$F$24,-3)</f>
        <v>280000</v>
      </c>
      <c r="R69" s="352">
        <f t="shared" si="20"/>
        <v>256910.2</v>
      </c>
      <c r="S69" s="352">
        <f t="shared" si="21"/>
        <v>128455.1</v>
      </c>
      <c r="T69" s="352">
        <f t="shared" si="22"/>
        <v>192682.65</v>
      </c>
      <c r="U69" s="352">
        <f t="shared" si="26"/>
        <v>9958714.411759999</v>
      </c>
      <c r="V69" s="352"/>
      <c r="W69" s="431">
        <f t="shared" si="27"/>
        <v>9958714.411759999</v>
      </c>
      <c r="Y69" s="531">
        <v>0.0435</v>
      </c>
    </row>
    <row r="70" spans="1:25" ht="15.75" thickBot="1">
      <c r="A70" s="337">
        <v>50</v>
      </c>
      <c r="B70" s="385" t="s">
        <v>391</v>
      </c>
      <c r="C70" s="376">
        <v>44564</v>
      </c>
      <c r="D70" s="376">
        <v>44651</v>
      </c>
      <c r="E70" s="386">
        <f t="shared" si="28"/>
        <v>89</v>
      </c>
      <c r="F70" s="377">
        <v>2265522</v>
      </c>
      <c r="G70" s="377">
        <f>+F70*(1+'SUPUESTOS GASTOS'!$F$6)</f>
        <v>2378798.1</v>
      </c>
      <c r="H70" s="377"/>
      <c r="I70" s="377">
        <f t="shared" si="23"/>
        <v>2378798.1</v>
      </c>
      <c r="J70" s="377">
        <f>ROUND(+((G70/'SUPUESTOS GASTOS'!$F$12)*E70),0)</f>
        <v>7057101</v>
      </c>
      <c r="K70" s="377">
        <f>ROUND(+((I70*E70)/'SUPUESTOS GASTOS'!$F$10),0)</f>
        <v>588092</v>
      </c>
      <c r="L70" s="377">
        <f t="shared" si="19"/>
        <v>22836.461760000002</v>
      </c>
      <c r="M70" s="377">
        <f t="shared" si="24"/>
        <v>588092</v>
      </c>
      <c r="N70" s="377">
        <f t="shared" si="25"/>
        <v>294046</v>
      </c>
      <c r="O70" s="377">
        <f>ROUNDUP((+$J70)*'SUPUESTOS GASTOS'!$F$19,-3)</f>
        <v>847000</v>
      </c>
      <c r="P70" s="377">
        <f>ROUNDUP((+$J70)*'SUPUESTOS GASTOS'!$F$20,-3)</f>
        <v>600000</v>
      </c>
      <c r="Q70" s="453">
        <f>ROUNDUP((+$J70)*'SUPUESTOS GASTOS'!$F$23,-3)</f>
        <v>172000</v>
      </c>
      <c r="R70" s="377">
        <f t="shared" si="20"/>
        <v>282284.04</v>
      </c>
      <c r="S70" s="377">
        <f t="shared" si="21"/>
        <v>141142.02</v>
      </c>
      <c r="T70" s="377">
        <f t="shared" si="22"/>
        <v>211713.03</v>
      </c>
      <c r="U70" s="377">
        <f t="shared" si="26"/>
        <v>10804306.551759997</v>
      </c>
      <c r="V70" s="377"/>
      <c r="W70" s="445">
        <f t="shared" si="27"/>
        <v>10804306.551759997</v>
      </c>
      <c r="Y70" s="532">
        <v>0.02436</v>
      </c>
    </row>
    <row r="71" spans="1:25" s="353" customFormat="1" ht="15.75" thickBot="1">
      <c r="A71" s="337"/>
      <c r="B71" s="436" t="s">
        <v>28</v>
      </c>
      <c r="C71" s="380"/>
      <c r="D71" s="380"/>
      <c r="E71" s="437"/>
      <c r="F71" s="451">
        <f aca="true" t="shared" si="29" ref="F71:W71">SUM(F43:F70)</f>
        <v>64861382</v>
      </c>
      <c r="G71" s="451">
        <f t="shared" si="29"/>
        <v>68104451.10000002</v>
      </c>
      <c r="H71" s="381">
        <f t="shared" si="29"/>
        <v>111776.7</v>
      </c>
      <c r="I71" s="451">
        <f>SUM(I43:I70)</f>
        <v>68216227.80000003</v>
      </c>
      <c r="J71" s="451">
        <f>SUM(J43:J70)</f>
        <v>188785535</v>
      </c>
      <c r="K71" s="451">
        <f t="shared" si="29"/>
        <v>15518633</v>
      </c>
      <c r="L71" s="451">
        <f t="shared" si="29"/>
        <v>645717.8447999997</v>
      </c>
      <c r="M71" s="451">
        <f t="shared" si="29"/>
        <v>15518633</v>
      </c>
      <c r="N71" s="451">
        <f t="shared" si="29"/>
        <v>7745498</v>
      </c>
      <c r="O71" s="452">
        <f t="shared" si="29"/>
        <v>22315000</v>
      </c>
      <c r="P71" s="452">
        <f t="shared" si="29"/>
        <v>16166000</v>
      </c>
      <c r="Q71" s="452">
        <f t="shared" si="29"/>
        <v>7576000</v>
      </c>
      <c r="R71" s="452">
        <f t="shared" si="29"/>
        <v>7435675.200000003</v>
      </c>
      <c r="S71" s="452">
        <f t="shared" si="29"/>
        <v>3717837.6000000015</v>
      </c>
      <c r="T71" s="452">
        <f t="shared" si="29"/>
        <v>5576756.400000001</v>
      </c>
      <c r="U71" s="452">
        <f t="shared" si="29"/>
        <v>291332890.33688</v>
      </c>
      <c r="V71" s="438">
        <f t="shared" si="29"/>
        <v>0</v>
      </c>
      <c r="W71" s="439">
        <f t="shared" si="29"/>
        <v>291332890.33688</v>
      </c>
      <c r="Y71" s="536"/>
    </row>
    <row r="72" spans="6:24" ht="15.75" thickBot="1">
      <c r="F72" s="378"/>
      <c r="G72" s="378"/>
      <c r="H72" s="379"/>
      <c r="I72" s="378"/>
      <c r="J72" s="378"/>
      <c r="K72" s="378"/>
      <c r="L72" s="378"/>
      <c r="M72" s="378"/>
      <c r="N72" s="378"/>
      <c r="O72" s="356"/>
      <c r="P72" s="356"/>
      <c r="Q72" s="356"/>
      <c r="R72" s="356"/>
      <c r="S72" s="356"/>
      <c r="T72" s="355"/>
      <c r="U72" s="355"/>
      <c r="V72" s="356"/>
      <c r="W72" s="356"/>
      <c r="X72" s="387"/>
    </row>
    <row r="73" spans="1:25" s="353" customFormat="1" ht="15.75" thickBot="1">
      <c r="A73" s="337"/>
      <c r="B73" s="357" t="s">
        <v>94</v>
      </c>
      <c r="C73" s="358"/>
      <c r="D73" s="358"/>
      <c r="E73" s="359"/>
      <c r="F73" s="360"/>
      <c r="G73" s="361"/>
      <c r="H73" s="361"/>
      <c r="I73" s="361"/>
      <c r="J73" s="361"/>
      <c r="K73" s="361"/>
      <c r="L73" s="361"/>
      <c r="M73" s="361"/>
      <c r="N73" s="361"/>
      <c r="O73" s="362"/>
      <c r="P73" s="362"/>
      <c r="Q73" s="362"/>
      <c r="R73" s="362"/>
      <c r="S73" s="362"/>
      <c r="T73" s="362"/>
      <c r="U73" s="363">
        <v>0</v>
      </c>
      <c r="V73" s="364"/>
      <c r="W73" s="364"/>
      <c r="Y73" s="332"/>
    </row>
    <row r="74" spans="1:25" s="353" customFormat="1" ht="15.75" thickBot="1">
      <c r="A74" s="337"/>
      <c r="B74" s="365"/>
      <c r="C74" s="365"/>
      <c r="D74" s="365"/>
      <c r="E74" s="341"/>
      <c r="F74" s="382"/>
      <c r="G74" s="366"/>
      <c r="H74" s="366"/>
      <c r="I74" s="366"/>
      <c r="J74" s="366"/>
      <c r="K74" s="366"/>
      <c r="L74" s="366"/>
      <c r="M74" s="366"/>
      <c r="N74" s="366"/>
      <c r="O74" s="367"/>
      <c r="P74" s="367"/>
      <c r="Q74" s="367"/>
      <c r="R74" s="367"/>
      <c r="S74" s="367"/>
      <c r="T74" s="367"/>
      <c r="U74" s="367"/>
      <c r="V74" s="364"/>
      <c r="W74" s="364"/>
      <c r="Y74" s="534"/>
    </row>
    <row r="75" spans="2:25" s="343" customFormat="1" ht="15.75" thickBot="1">
      <c r="B75" s="344"/>
      <c r="C75" s="344"/>
      <c r="D75" s="344"/>
      <c r="E75" s="344"/>
      <c r="F75" s="455" t="s">
        <v>276</v>
      </c>
      <c r="G75" s="696" t="s">
        <v>313</v>
      </c>
      <c r="H75" s="696"/>
      <c r="I75" s="697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9"/>
      <c r="V75" s="370"/>
      <c r="W75" s="370"/>
      <c r="Y75" s="526"/>
    </row>
    <row r="76" spans="2:25" s="348" customFormat="1" ht="36" customHeight="1" thickBot="1">
      <c r="B76" s="430" t="s">
        <v>290</v>
      </c>
      <c r="C76" s="426" t="s">
        <v>98</v>
      </c>
      <c r="D76" s="426" t="s">
        <v>99</v>
      </c>
      <c r="E76" s="427" t="s">
        <v>228</v>
      </c>
      <c r="F76" s="428" t="s">
        <v>1</v>
      </c>
      <c r="G76" s="428" t="s">
        <v>1</v>
      </c>
      <c r="H76" s="428" t="s">
        <v>34</v>
      </c>
      <c r="I76" s="428" t="s">
        <v>2</v>
      </c>
      <c r="J76" s="429" t="s">
        <v>3</v>
      </c>
      <c r="K76" s="429" t="s">
        <v>4</v>
      </c>
      <c r="L76" s="429" t="s">
        <v>5</v>
      </c>
      <c r="M76" s="429" t="s">
        <v>6</v>
      </c>
      <c r="N76" s="429" t="s">
        <v>7</v>
      </c>
      <c r="O76" s="429" t="s">
        <v>8</v>
      </c>
      <c r="P76" s="429" t="s">
        <v>9</v>
      </c>
      <c r="Q76" s="429" t="s">
        <v>10</v>
      </c>
      <c r="R76" s="429" t="s">
        <v>11</v>
      </c>
      <c r="S76" s="429" t="s">
        <v>12</v>
      </c>
      <c r="T76" s="429" t="s">
        <v>13</v>
      </c>
      <c r="U76" s="429" t="s">
        <v>14</v>
      </c>
      <c r="V76" s="429" t="s">
        <v>87</v>
      </c>
      <c r="W76" s="448" t="s">
        <v>125</v>
      </c>
      <c r="Y76" s="527" t="s">
        <v>382</v>
      </c>
    </row>
    <row r="77" spans="1:25" ht="15">
      <c r="A77" s="337">
        <v>51</v>
      </c>
      <c r="B77" s="440" t="s">
        <v>295</v>
      </c>
      <c r="C77" s="349">
        <v>44572</v>
      </c>
      <c r="D77" s="349">
        <v>44651</v>
      </c>
      <c r="E77" s="441">
        <f>DAYS360(C77,D77)+1</f>
        <v>81</v>
      </c>
      <c r="F77" s="350">
        <v>0</v>
      </c>
      <c r="G77" s="350">
        <f>+G69</f>
        <v>2378798.1</v>
      </c>
      <c r="H77" s="350"/>
      <c r="I77" s="350">
        <f>SUM(G77:H77)</f>
        <v>2378798.1</v>
      </c>
      <c r="J77" s="350">
        <f>ROUND(+((G77/'SUPUESTOS GASTOS'!$F$12)*E77),0)</f>
        <v>6422755</v>
      </c>
      <c r="K77" s="350">
        <f>ROUND(+((I77*E77)/'SUPUESTOS GASTOS'!$F$10),0)</f>
        <v>535230</v>
      </c>
      <c r="L77" s="350">
        <f>((I77*12%)*8%)</f>
        <v>22836.461760000002</v>
      </c>
      <c r="M77" s="350">
        <f>+K77</f>
        <v>535230</v>
      </c>
      <c r="N77" s="350">
        <f>ROUND(+(G77*E77)/720,0)</f>
        <v>267615</v>
      </c>
      <c r="O77" s="350">
        <f>ROUNDUP((+$J77)*'SUPUESTOS GASTOS'!$F$19,-3)</f>
        <v>771000</v>
      </c>
      <c r="P77" s="350">
        <f>ROUNDUP((+$J77)*'SUPUESTOS GASTOS'!$F$20,-3)</f>
        <v>546000</v>
      </c>
      <c r="Q77" s="372">
        <f>ROUNDUP((+$J77)*'SUPUESTOS GASTOS'!$F$24,-3)</f>
        <v>280000</v>
      </c>
      <c r="R77" s="350">
        <f>ROUND((J77*4%),3)</f>
        <v>256910.2</v>
      </c>
      <c r="S77" s="350">
        <f>ROUND((J77*2%),0+3)</f>
        <v>128455.1</v>
      </c>
      <c r="T77" s="350">
        <f>ROUND((J77*3%),3)</f>
        <v>192682.65</v>
      </c>
      <c r="U77" s="350">
        <f>SUM(J77:T77)</f>
        <v>9958714.411759999</v>
      </c>
      <c r="V77" s="350"/>
      <c r="W77" s="443">
        <f>+V77+U77</f>
        <v>9958714.411759999</v>
      </c>
      <c r="Y77" s="530">
        <v>0.0435</v>
      </c>
    </row>
    <row r="78" spans="1:25" ht="15">
      <c r="A78" s="337">
        <v>52</v>
      </c>
      <c r="B78" s="383" t="s">
        <v>295</v>
      </c>
      <c r="C78" s="351">
        <v>44572</v>
      </c>
      <c r="D78" s="351">
        <v>44651</v>
      </c>
      <c r="E78" s="384">
        <f>DAYS360(C78,D78)+1</f>
        <v>81</v>
      </c>
      <c r="F78" s="352">
        <v>0</v>
      </c>
      <c r="G78" s="352">
        <f>+G69</f>
        <v>2378798.1</v>
      </c>
      <c r="H78" s="352"/>
      <c r="I78" s="352">
        <f>SUM(G78:H78)</f>
        <v>2378798.1</v>
      </c>
      <c r="J78" s="352">
        <f>ROUND(+((G78/'SUPUESTOS GASTOS'!$F$12)*E78),0)</f>
        <v>6422755</v>
      </c>
      <c r="K78" s="352">
        <f>ROUND(+((I78*E78)/'SUPUESTOS GASTOS'!$F$10),0)</f>
        <v>535230</v>
      </c>
      <c r="L78" s="352">
        <f>((I78*12%)*8%)</f>
        <v>22836.461760000002</v>
      </c>
      <c r="M78" s="352">
        <f>+K78</f>
        <v>535230</v>
      </c>
      <c r="N78" s="352">
        <f>ROUND(+(G78*E78)/720,0)</f>
        <v>267615</v>
      </c>
      <c r="O78" s="352">
        <f>ROUNDUP((+$J78)*'SUPUESTOS GASTOS'!$F$19,-3)</f>
        <v>771000</v>
      </c>
      <c r="P78" s="352">
        <f>ROUNDUP((+$J78)*'SUPUESTOS GASTOS'!$F$20,-3)</f>
        <v>546000</v>
      </c>
      <c r="Q78" s="373">
        <f>ROUNDUP((+$J78)*'SUPUESTOS GASTOS'!$F$24,-3)</f>
        <v>280000</v>
      </c>
      <c r="R78" s="352">
        <f>ROUND((J78*4%),3)</f>
        <v>256910.2</v>
      </c>
      <c r="S78" s="352">
        <f>ROUND((J78*2%),0+3)</f>
        <v>128455.1</v>
      </c>
      <c r="T78" s="352">
        <f>ROUND((J78*3%),3)</f>
        <v>192682.65</v>
      </c>
      <c r="U78" s="352">
        <f>SUM(J78:T78)</f>
        <v>9958714.411759999</v>
      </c>
      <c r="V78" s="352"/>
      <c r="W78" s="431">
        <f>+V78+U78</f>
        <v>9958714.411759999</v>
      </c>
      <c r="Y78" s="531">
        <v>0.0435</v>
      </c>
    </row>
    <row r="79" spans="1:25" ht="15.75" thickBot="1">
      <c r="A79" s="337">
        <v>53</v>
      </c>
      <c r="B79" s="385" t="s">
        <v>295</v>
      </c>
      <c r="C79" s="376">
        <v>44572</v>
      </c>
      <c r="D79" s="376">
        <v>44651</v>
      </c>
      <c r="E79" s="386">
        <f>DAYS360(C79,D79)+1</f>
        <v>81</v>
      </c>
      <c r="F79" s="377">
        <v>0</v>
      </c>
      <c r="G79" s="377">
        <f>+G69</f>
        <v>2378798.1</v>
      </c>
      <c r="H79" s="377"/>
      <c r="I79" s="377">
        <f>SUM(G79:H79)</f>
        <v>2378798.1</v>
      </c>
      <c r="J79" s="377">
        <f>ROUND(+((G79/'SUPUESTOS GASTOS'!$F$12)*E79),0)</f>
        <v>6422755</v>
      </c>
      <c r="K79" s="377">
        <f>ROUND(+((I79*E79)/'SUPUESTOS GASTOS'!$F$10),0)</f>
        <v>535230</v>
      </c>
      <c r="L79" s="377">
        <f>((I79*12%)*8%)</f>
        <v>22836.461760000002</v>
      </c>
      <c r="M79" s="377">
        <f>+K79</f>
        <v>535230</v>
      </c>
      <c r="N79" s="377">
        <f>ROUND(+(G79*E79)/720,0)</f>
        <v>267615</v>
      </c>
      <c r="O79" s="377">
        <f>ROUNDUP((+$J79)*'SUPUESTOS GASTOS'!$F$19,-3)</f>
        <v>771000</v>
      </c>
      <c r="P79" s="377">
        <f>ROUNDUP((+$J79)*'SUPUESTOS GASTOS'!$F$20,-3)</f>
        <v>546000</v>
      </c>
      <c r="Q79" s="453">
        <f>ROUNDUP((+$J79)*'SUPUESTOS GASTOS'!$F$24,-3)</f>
        <v>280000</v>
      </c>
      <c r="R79" s="377">
        <f>ROUND((J79*4%),3)</f>
        <v>256910.2</v>
      </c>
      <c r="S79" s="377">
        <f>ROUND((J79*2%),0+3)</f>
        <v>128455.1</v>
      </c>
      <c r="T79" s="377">
        <f>ROUND((J79*3%),3)</f>
        <v>192682.65</v>
      </c>
      <c r="U79" s="377">
        <f>SUM(J79:T79)</f>
        <v>9958714.411759999</v>
      </c>
      <c r="V79" s="377"/>
      <c r="W79" s="445">
        <f>+V79+U79</f>
        <v>9958714.411759999</v>
      </c>
      <c r="Y79" s="532">
        <v>0.0435</v>
      </c>
    </row>
    <row r="80" spans="1:25" s="353" customFormat="1" ht="15.75" thickBot="1">
      <c r="A80" s="337"/>
      <c r="B80" s="436" t="s">
        <v>28</v>
      </c>
      <c r="C80" s="380"/>
      <c r="D80" s="380"/>
      <c r="E80" s="437"/>
      <c r="F80" s="451">
        <f aca="true" t="shared" si="30" ref="F80:W80">SUM(F77:F79)</f>
        <v>0</v>
      </c>
      <c r="G80" s="451">
        <f t="shared" si="30"/>
        <v>7136394.300000001</v>
      </c>
      <c r="H80" s="381">
        <f t="shared" si="30"/>
        <v>0</v>
      </c>
      <c r="I80" s="451">
        <f t="shared" si="30"/>
        <v>7136394.300000001</v>
      </c>
      <c r="J80" s="451">
        <f t="shared" si="30"/>
        <v>19268265</v>
      </c>
      <c r="K80" s="451">
        <f t="shared" si="30"/>
        <v>1605690</v>
      </c>
      <c r="L80" s="451">
        <f t="shared" si="30"/>
        <v>68509.38528</v>
      </c>
      <c r="M80" s="451">
        <f t="shared" si="30"/>
        <v>1605690</v>
      </c>
      <c r="N80" s="451">
        <f t="shared" si="30"/>
        <v>802845</v>
      </c>
      <c r="O80" s="452">
        <f t="shared" si="30"/>
        <v>2313000</v>
      </c>
      <c r="P80" s="452">
        <f t="shared" si="30"/>
        <v>1638000</v>
      </c>
      <c r="Q80" s="452">
        <f t="shared" si="30"/>
        <v>840000</v>
      </c>
      <c r="R80" s="452">
        <f t="shared" si="30"/>
        <v>770730.6000000001</v>
      </c>
      <c r="S80" s="452">
        <f t="shared" si="30"/>
        <v>385365.30000000005</v>
      </c>
      <c r="T80" s="452">
        <f t="shared" si="30"/>
        <v>578047.95</v>
      </c>
      <c r="U80" s="452">
        <f t="shared" si="30"/>
        <v>29876143.235279996</v>
      </c>
      <c r="V80" s="438">
        <f t="shared" si="30"/>
        <v>0</v>
      </c>
      <c r="W80" s="439">
        <f t="shared" si="30"/>
        <v>29876143.235279996</v>
      </c>
      <c r="Y80" s="536"/>
    </row>
    <row r="81" spans="1:25" s="353" customFormat="1" ht="15">
      <c r="A81" s="337"/>
      <c r="B81" s="341"/>
      <c r="C81" s="365"/>
      <c r="D81" s="365"/>
      <c r="E81" s="341"/>
      <c r="F81" s="366"/>
      <c r="G81" s="366"/>
      <c r="H81" s="382"/>
      <c r="I81" s="366"/>
      <c r="J81" s="366"/>
      <c r="K81" s="366"/>
      <c r="L81" s="366"/>
      <c r="M81" s="366"/>
      <c r="N81" s="366"/>
      <c r="O81" s="367"/>
      <c r="P81" s="367"/>
      <c r="Q81" s="367"/>
      <c r="R81" s="367"/>
      <c r="S81" s="367"/>
      <c r="T81" s="367"/>
      <c r="U81" s="367"/>
      <c r="V81" s="388"/>
      <c r="W81" s="367"/>
      <c r="Y81" s="534"/>
    </row>
    <row r="82" spans="1:25" s="353" customFormat="1" ht="15.75" thickBot="1">
      <c r="A82" s="337"/>
      <c r="B82" s="341"/>
      <c r="C82" s="365"/>
      <c r="D82" s="366"/>
      <c r="E82" s="366"/>
      <c r="F82" s="366"/>
      <c r="G82" s="366"/>
      <c r="H82" s="366"/>
      <c r="I82" s="366"/>
      <c r="J82" s="366"/>
      <c r="K82" s="366"/>
      <c r="L82" s="366"/>
      <c r="M82" s="366"/>
      <c r="N82" s="366"/>
      <c r="O82" s="367"/>
      <c r="P82" s="367"/>
      <c r="Q82" s="367"/>
      <c r="R82" s="367"/>
      <c r="S82" s="367"/>
      <c r="T82" s="367"/>
      <c r="U82" s="367"/>
      <c r="V82" s="388"/>
      <c r="W82" s="367"/>
      <c r="Y82" s="534"/>
    </row>
    <row r="83" spans="1:25" s="343" customFormat="1" ht="15.75" thickBot="1">
      <c r="A83" s="337"/>
      <c r="B83" s="344"/>
      <c r="C83" s="344"/>
      <c r="D83" s="344"/>
      <c r="E83" s="344"/>
      <c r="F83" s="455" t="s">
        <v>276</v>
      </c>
      <c r="G83" s="696" t="s">
        <v>313</v>
      </c>
      <c r="H83" s="696"/>
      <c r="I83" s="697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9"/>
      <c r="V83" s="370"/>
      <c r="W83" s="370"/>
      <c r="Y83" s="526"/>
    </row>
    <row r="84" spans="1:25" s="348" customFormat="1" ht="31.5" thickBot="1">
      <c r="A84" s="337"/>
      <c r="B84" s="430" t="s">
        <v>271</v>
      </c>
      <c r="C84" s="426" t="s">
        <v>98</v>
      </c>
      <c r="D84" s="426" t="s">
        <v>99</v>
      </c>
      <c r="E84" s="427" t="s">
        <v>228</v>
      </c>
      <c r="F84" s="428" t="s">
        <v>1</v>
      </c>
      <c r="G84" s="428" t="s">
        <v>1</v>
      </c>
      <c r="H84" s="428" t="s">
        <v>34</v>
      </c>
      <c r="I84" s="428" t="s">
        <v>2</v>
      </c>
      <c r="J84" s="429" t="s">
        <v>3</v>
      </c>
      <c r="K84" s="429" t="s">
        <v>4</v>
      </c>
      <c r="L84" s="429" t="s">
        <v>5</v>
      </c>
      <c r="M84" s="429" t="s">
        <v>6</v>
      </c>
      <c r="N84" s="429" t="s">
        <v>7</v>
      </c>
      <c r="O84" s="429" t="s">
        <v>8</v>
      </c>
      <c r="P84" s="429" t="s">
        <v>9</v>
      </c>
      <c r="Q84" s="429" t="s">
        <v>10</v>
      </c>
      <c r="R84" s="429" t="s">
        <v>11</v>
      </c>
      <c r="S84" s="429" t="s">
        <v>12</v>
      </c>
      <c r="T84" s="429" t="s">
        <v>13</v>
      </c>
      <c r="U84" s="429" t="s">
        <v>14</v>
      </c>
      <c r="V84" s="429" t="s">
        <v>87</v>
      </c>
      <c r="W84" s="448" t="s">
        <v>125</v>
      </c>
      <c r="Y84" s="527" t="s">
        <v>382</v>
      </c>
    </row>
    <row r="85" spans="1:25" ht="15">
      <c r="A85" s="337">
        <v>54</v>
      </c>
      <c r="B85" s="440" t="s">
        <v>140</v>
      </c>
      <c r="C85" s="349">
        <v>44564</v>
      </c>
      <c r="D85" s="349">
        <v>44651</v>
      </c>
      <c r="E85" s="441">
        <f>DAYS360(C85,D85)+1</f>
        <v>89</v>
      </c>
      <c r="F85" s="350">
        <v>4417768</v>
      </c>
      <c r="G85" s="350">
        <f>+F85*(1+'SUPUESTOS GASTOS'!$F$6)</f>
        <v>4638656.4</v>
      </c>
      <c r="H85" s="350"/>
      <c r="I85" s="350">
        <f>SUM(G85:H85)</f>
        <v>4638656.4</v>
      </c>
      <c r="J85" s="350">
        <f>ROUND(+((G85/'SUPUESTOS GASTOS'!$F$12)*E85),0)</f>
        <v>13761347</v>
      </c>
      <c r="K85" s="350">
        <f>ROUND(+((I85*E85)/'SUPUESTOS GASTOS'!$F$10),0)</f>
        <v>1146779</v>
      </c>
      <c r="L85" s="350">
        <f>((I85*12%)*8%)</f>
        <v>44531.101440000006</v>
      </c>
      <c r="M85" s="350">
        <f>+K85</f>
        <v>1146779</v>
      </c>
      <c r="N85" s="350">
        <f>ROUND(+(G85*E85)/720,0)</f>
        <v>573389</v>
      </c>
      <c r="O85" s="350">
        <f>ROUNDUP((+$J85)*'SUPUESTOS GASTOS'!$F$19,-3)</f>
        <v>1652000</v>
      </c>
      <c r="P85" s="350">
        <f>ROUNDUP((+$J85)*'SUPUESTOS GASTOS'!$F$20,-3)</f>
        <v>1170000</v>
      </c>
      <c r="Q85" s="372">
        <f>ROUNDUP((+$J85)*'SUPUESTOS GASTOS'!$F$23,-3)</f>
        <v>336000</v>
      </c>
      <c r="R85" s="350">
        <f>ROUND((J85*4%),3)</f>
        <v>550453.88</v>
      </c>
      <c r="S85" s="350">
        <f>ROUND((J85*2%),0+3)</f>
        <v>275226.94</v>
      </c>
      <c r="T85" s="350">
        <f>ROUND((J85*3%),3)</f>
        <v>412840.41</v>
      </c>
      <c r="U85" s="350">
        <f>SUM(J85:T85)</f>
        <v>21069346.331439998</v>
      </c>
      <c r="V85" s="442"/>
      <c r="W85" s="443">
        <f>+U85</f>
        <v>21069346.331439998</v>
      </c>
      <c r="Y85" s="530">
        <v>0.02436</v>
      </c>
    </row>
    <row r="86" spans="1:25" ht="15.75" thickBot="1">
      <c r="A86" s="337">
        <v>55</v>
      </c>
      <c r="B86" s="385" t="s">
        <v>139</v>
      </c>
      <c r="C86" s="376">
        <v>44564</v>
      </c>
      <c r="D86" s="376">
        <v>44651</v>
      </c>
      <c r="E86" s="386">
        <f>DAYS360(C86,D86)+1</f>
        <v>89</v>
      </c>
      <c r="F86" s="377">
        <v>2265522</v>
      </c>
      <c r="G86" s="377">
        <f>+F86*(1+'SUPUESTOS GASTOS'!$F$6)</f>
        <v>2378798.1</v>
      </c>
      <c r="H86" s="377"/>
      <c r="I86" s="377">
        <f>SUM(G86:H86)</f>
        <v>2378798.1</v>
      </c>
      <c r="J86" s="377">
        <f>ROUND(+((G86/'SUPUESTOS GASTOS'!$F$12)*E86),0)</f>
        <v>7057101</v>
      </c>
      <c r="K86" s="377">
        <f>ROUND(+((I86*E86)/'SUPUESTOS GASTOS'!$F$10),0)</f>
        <v>588092</v>
      </c>
      <c r="L86" s="377">
        <f>((I86*12%)*8%)</f>
        <v>22836.461760000002</v>
      </c>
      <c r="M86" s="377">
        <f>+K86</f>
        <v>588092</v>
      </c>
      <c r="N86" s="377">
        <f>ROUND(+(G86*E86)/720,0)</f>
        <v>294046</v>
      </c>
      <c r="O86" s="377">
        <f>ROUNDUP((+$J86)*'SUPUESTOS GASTOS'!$F$19,-3)</f>
        <v>847000</v>
      </c>
      <c r="P86" s="377">
        <f>ROUNDUP((+$J86)*'SUPUESTOS GASTOS'!$F$20,-3)</f>
        <v>600000</v>
      </c>
      <c r="Q86" s="377">
        <f>ROUNDUP((+$J86)*'SUPUESTOS GASTOS'!$F$23,-3)</f>
        <v>172000</v>
      </c>
      <c r="R86" s="377">
        <f>ROUND((J86*4%),3)</f>
        <v>282284.04</v>
      </c>
      <c r="S86" s="377">
        <f>ROUND((J86*2%),0+3)</f>
        <v>141142.02</v>
      </c>
      <c r="T86" s="377">
        <f>ROUND((J86*3%),3)</f>
        <v>211713.03</v>
      </c>
      <c r="U86" s="377">
        <f>SUM(J86:T86)+((H86/30)*E86)</f>
        <v>10804306.551759997</v>
      </c>
      <c r="V86" s="377">
        <v>0</v>
      </c>
      <c r="W86" s="445">
        <f>+V86+U86</f>
        <v>10804306.551759997</v>
      </c>
      <c r="Y86" s="532">
        <v>0.02436</v>
      </c>
    </row>
    <row r="87" spans="1:25" s="353" customFormat="1" ht="15.75" thickBot="1">
      <c r="A87" s="337"/>
      <c r="B87" s="436" t="s">
        <v>28</v>
      </c>
      <c r="C87" s="380"/>
      <c r="D87" s="380"/>
      <c r="E87" s="437"/>
      <c r="F87" s="451">
        <f>SUM(F85:F86)</f>
        <v>6683290</v>
      </c>
      <c r="G87" s="451">
        <f>SUM(G85:G86)</f>
        <v>7017454.5</v>
      </c>
      <c r="H87" s="451"/>
      <c r="I87" s="451">
        <f aca="true" t="shared" si="31" ref="I87:V87">SUM(I85:I86)</f>
        <v>7017454.5</v>
      </c>
      <c r="J87" s="451">
        <f t="shared" si="31"/>
        <v>20818448</v>
      </c>
      <c r="K87" s="451">
        <f t="shared" si="31"/>
        <v>1734871</v>
      </c>
      <c r="L87" s="451">
        <f t="shared" si="31"/>
        <v>67367.5632</v>
      </c>
      <c r="M87" s="451">
        <f t="shared" si="31"/>
        <v>1734871</v>
      </c>
      <c r="N87" s="451">
        <f t="shared" si="31"/>
        <v>867435</v>
      </c>
      <c r="O87" s="451">
        <f t="shared" si="31"/>
        <v>2499000</v>
      </c>
      <c r="P87" s="451">
        <f t="shared" si="31"/>
        <v>1770000</v>
      </c>
      <c r="Q87" s="451">
        <f t="shared" si="31"/>
        <v>508000</v>
      </c>
      <c r="R87" s="451">
        <f t="shared" si="31"/>
        <v>832737.9199999999</v>
      </c>
      <c r="S87" s="451">
        <f t="shared" si="31"/>
        <v>416368.95999999996</v>
      </c>
      <c r="T87" s="451">
        <f t="shared" si="31"/>
        <v>624553.44</v>
      </c>
      <c r="U87" s="451">
        <f>SUM(U85:U86)</f>
        <v>31873652.883199997</v>
      </c>
      <c r="V87" s="451">
        <f t="shared" si="31"/>
        <v>0</v>
      </c>
      <c r="W87" s="454">
        <f>SUM(W85:W86)</f>
        <v>31873652.883199997</v>
      </c>
      <c r="Y87" s="537"/>
    </row>
    <row r="88" spans="1:25" s="353" customFormat="1" ht="15.75" thickBot="1">
      <c r="A88" s="337"/>
      <c r="B88" s="341"/>
      <c r="C88" s="365"/>
      <c r="D88" s="365"/>
      <c r="E88" s="341"/>
      <c r="F88" s="366"/>
      <c r="G88" s="366"/>
      <c r="H88" s="382"/>
      <c r="I88" s="366"/>
      <c r="J88" s="366"/>
      <c r="K88" s="366"/>
      <c r="L88" s="366"/>
      <c r="M88" s="366"/>
      <c r="N88" s="366"/>
      <c r="O88" s="367"/>
      <c r="P88" s="367"/>
      <c r="Q88" s="367"/>
      <c r="R88" s="367"/>
      <c r="S88" s="367"/>
      <c r="T88" s="367"/>
      <c r="U88" s="367"/>
      <c r="V88" s="388"/>
      <c r="W88" s="367"/>
      <c r="Y88" s="534"/>
    </row>
    <row r="89" spans="1:25" s="343" customFormat="1" ht="15.75" thickBot="1">
      <c r="A89" s="337"/>
      <c r="B89" s="344"/>
      <c r="C89" s="344"/>
      <c r="D89" s="344"/>
      <c r="E89" s="344"/>
      <c r="F89" s="455" t="s">
        <v>276</v>
      </c>
      <c r="G89" s="696" t="s">
        <v>313</v>
      </c>
      <c r="H89" s="696"/>
      <c r="I89" s="697"/>
      <c r="J89" s="368"/>
      <c r="K89" s="368"/>
      <c r="L89" s="368"/>
      <c r="M89" s="368"/>
      <c r="N89" s="368"/>
      <c r="O89" s="368"/>
      <c r="P89" s="368"/>
      <c r="Q89" s="368"/>
      <c r="R89" s="368"/>
      <c r="S89" s="368"/>
      <c r="T89" s="368"/>
      <c r="U89" s="369"/>
      <c r="V89" s="370"/>
      <c r="W89" s="370"/>
      <c r="Y89" s="526"/>
    </row>
    <row r="90" spans="1:25" s="348" customFormat="1" ht="31.5" thickBot="1">
      <c r="A90" s="337"/>
      <c r="B90" s="430" t="s">
        <v>367</v>
      </c>
      <c r="C90" s="426" t="s">
        <v>98</v>
      </c>
      <c r="D90" s="426" t="s">
        <v>99</v>
      </c>
      <c r="E90" s="427" t="s">
        <v>228</v>
      </c>
      <c r="F90" s="428" t="s">
        <v>1</v>
      </c>
      <c r="G90" s="428" t="s">
        <v>1</v>
      </c>
      <c r="H90" s="428" t="s">
        <v>34</v>
      </c>
      <c r="I90" s="428" t="s">
        <v>2</v>
      </c>
      <c r="J90" s="429" t="s">
        <v>3</v>
      </c>
      <c r="K90" s="429" t="s">
        <v>4</v>
      </c>
      <c r="L90" s="429" t="s">
        <v>5</v>
      </c>
      <c r="M90" s="429" t="s">
        <v>6</v>
      </c>
      <c r="N90" s="429" t="s">
        <v>7</v>
      </c>
      <c r="O90" s="429" t="s">
        <v>8</v>
      </c>
      <c r="P90" s="429" t="s">
        <v>9</v>
      </c>
      <c r="Q90" s="429" t="s">
        <v>10</v>
      </c>
      <c r="R90" s="429" t="s">
        <v>11</v>
      </c>
      <c r="S90" s="429" t="s">
        <v>12</v>
      </c>
      <c r="T90" s="429" t="s">
        <v>13</v>
      </c>
      <c r="U90" s="429" t="s">
        <v>14</v>
      </c>
      <c r="V90" s="429" t="s">
        <v>87</v>
      </c>
      <c r="W90" s="448" t="s">
        <v>125</v>
      </c>
      <c r="Y90" s="527" t="s">
        <v>382</v>
      </c>
    </row>
    <row r="91" spans="1:25" ht="15.75" thickBot="1">
      <c r="A91" s="337">
        <v>56</v>
      </c>
      <c r="B91" s="440" t="s">
        <v>412</v>
      </c>
      <c r="C91" s="349">
        <v>44564</v>
      </c>
      <c r="D91" s="349">
        <v>44651</v>
      </c>
      <c r="E91" s="441">
        <f>DAYS360(C91,D91)+1</f>
        <v>89</v>
      </c>
      <c r="F91" s="350">
        <v>0</v>
      </c>
      <c r="G91" s="350">
        <f>+G46</f>
        <v>2973498.15</v>
      </c>
      <c r="H91" s="350"/>
      <c r="I91" s="350">
        <f>SUM(G91:H91)</f>
        <v>2973498.15</v>
      </c>
      <c r="J91" s="350">
        <f>ROUND(+((G91/'SUPUESTOS GASTOS'!$F$12)*E91),0)</f>
        <v>8821378</v>
      </c>
      <c r="K91" s="350">
        <f>ROUND(+((I91*E91)/'SUPUESTOS GASTOS'!$F$10),0)</f>
        <v>735115</v>
      </c>
      <c r="L91" s="350">
        <f>((I91*12%)*8%)</f>
        <v>28545.58224</v>
      </c>
      <c r="M91" s="350">
        <f>+K91</f>
        <v>735115</v>
      </c>
      <c r="N91" s="350">
        <f>ROUND(+(G91*E91)/720,0)</f>
        <v>367557</v>
      </c>
      <c r="O91" s="350">
        <f>ROUNDUP((+$J91)*'SUPUESTOS GASTOS'!$F$19,-3)</f>
        <v>1059000</v>
      </c>
      <c r="P91" s="350">
        <f>ROUNDUP((+$J91)*'SUPUESTOS GASTOS'!$F$20,-3)</f>
        <v>750000</v>
      </c>
      <c r="Q91" s="372">
        <f>ROUNDUP((+$J91)*'SUPUESTOS GASTOS'!$F$23,-3)</f>
        <v>215000</v>
      </c>
      <c r="R91" s="350">
        <f>ROUND((J91*4%),3)</f>
        <v>352855.12</v>
      </c>
      <c r="S91" s="350">
        <f>ROUND((J91*2%),0+3)</f>
        <v>176427.56</v>
      </c>
      <c r="T91" s="350">
        <f>ROUND((J91*3%),3)</f>
        <v>264641.34</v>
      </c>
      <c r="U91" s="350">
        <f>SUM(J91:T91)</f>
        <v>13505634.60224</v>
      </c>
      <c r="V91" s="442"/>
      <c r="W91" s="443">
        <f>+U91</f>
        <v>13505634.60224</v>
      </c>
      <c r="Y91" s="538">
        <v>0.02436</v>
      </c>
    </row>
    <row r="92" spans="1:25" ht="15.75" thickBot="1">
      <c r="A92" s="337">
        <v>57</v>
      </c>
      <c r="B92" s="385" t="s">
        <v>390</v>
      </c>
      <c r="C92" s="376">
        <v>44564</v>
      </c>
      <c r="D92" s="376">
        <v>44651</v>
      </c>
      <c r="E92" s="386">
        <f>DAYS360(C92,D92)+1</f>
        <v>89</v>
      </c>
      <c r="F92" s="377">
        <v>1437474</v>
      </c>
      <c r="G92" s="377">
        <f>+G7</f>
        <v>2378798.1</v>
      </c>
      <c r="H92" s="377">
        <v>0</v>
      </c>
      <c r="I92" s="377">
        <f>SUM(G92:H92)</f>
        <v>2378798.1</v>
      </c>
      <c r="J92" s="377">
        <f>ROUND(+((G92/'SUPUESTOS GASTOS'!$F$12)*E92),0)</f>
        <v>7057101</v>
      </c>
      <c r="K92" s="377">
        <f>ROUND(+((I92*E92)/'SUPUESTOS GASTOS'!$F$10),0)</f>
        <v>588092</v>
      </c>
      <c r="L92" s="377">
        <f>((I92*12%)*8%)</f>
        <v>22836.461760000002</v>
      </c>
      <c r="M92" s="377">
        <f>+K92</f>
        <v>588092</v>
      </c>
      <c r="N92" s="377">
        <f>ROUND(+(G92*E92)/720,0)</f>
        <v>294046</v>
      </c>
      <c r="O92" s="377">
        <f>ROUNDUP((+$J92)*'SUPUESTOS GASTOS'!$F$19,-3)</f>
        <v>847000</v>
      </c>
      <c r="P92" s="377">
        <f>ROUNDUP((+$J92)*'SUPUESTOS GASTOS'!$F$20,-3)</f>
        <v>600000</v>
      </c>
      <c r="Q92" s="377">
        <f>ROUNDUP((+$J92)*'SUPUESTOS GASTOS'!$F$26,-3)</f>
        <v>74000</v>
      </c>
      <c r="R92" s="377">
        <f>ROUND((J92*4%),3)</f>
        <v>282284.04</v>
      </c>
      <c r="S92" s="377">
        <f>ROUND((J92*2%),0+3)</f>
        <v>141142.02</v>
      </c>
      <c r="T92" s="377">
        <f>ROUND((J92*3%),3)</f>
        <v>211713.03</v>
      </c>
      <c r="U92" s="377">
        <f>ROUND(SUM(J92:T92)+((H92/30)*E92),0)</f>
        <v>10706307</v>
      </c>
      <c r="V92" s="444">
        <v>0</v>
      </c>
      <c r="W92" s="445">
        <f>+V92+U92</f>
        <v>10706307</v>
      </c>
      <c r="Y92" s="532">
        <v>0.01044</v>
      </c>
    </row>
    <row r="93" spans="1:25" s="353" customFormat="1" ht="15.75" thickBot="1">
      <c r="A93" s="337"/>
      <c r="B93" s="436" t="s">
        <v>28</v>
      </c>
      <c r="C93" s="380"/>
      <c r="D93" s="380"/>
      <c r="E93" s="437"/>
      <c r="F93" s="451">
        <f>SUM(F91:F92)</f>
        <v>1437474</v>
      </c>
      <c r="G93" s="451">
        <f>SUM(G91:G92)</f>
        <v>5352296.25</v>
      </c>
      <c r="H93" s="451">
        <f>SUM(H91:H92)</f>
        <v>0</v>
      </c>
      <c r="I93" s="451">
        <f>SUM(I91:I92)</f>
        <v>5352296.25</v>
      </c>
      <c r="J93" s="451">
        <f>SUM(J91:J92)</f>
        <v>15878479</v>
      </c>
      <c r="K93" s="451">
        <f aca="true" t="shared" si="32" ref="K93:W93">SUM(K91:K92)</f>
        <v>1323207</v>
      </c>
      <c r="L93" s="451">
        <f t="shared" si="32"/>
        <v>51382.044</v>
      </c>
      <c r="M93" s="451">
        <f t="shared" si="32"/>
        <v>1323207</v>
      </c>
      <c r="N93" s="451">
        <f t="shared" si="32"/>
        <v>661603</v>
      </c>
      <c r="O93" s="451">
        <f t="shared" si="32"/>
        <v>1906000</v>
      </c>
      <c r="P93" s="451">
        <f t="shared" si="32"/>
        <v>1350000</v>
      </c>
      <c r="Q93" s="451">
        <f t="shared" si="32"/>
        <v>289000</v>
      </c>
      <c r="R93" s="451">
        <f t="shared" si="32"/>
        <v>635139.1599999999</v>
      </c>
      <c r="S93" s="451">
        <f t="shared" si="32"/>
        <v>317569.57999999996</v>
      </c>
      <c r="T93" s="451">
        <f t="shared" si="32"/>
        <v>476354.37</v>
      </c>
      <c r="U93" s="451">
        <f t="shared" si="32"/>
        <v>24211941.60224</v>
      </c>
      <c r="V93" s="451">
        <f t="shared" si="32"/>
        <v>0</v>
      </c>
      <c r="W93" s="454">
        <f t="shared" si="32"/>
        <v>24211941.60224</v>
      </c>
      <c r="Y93" s="537"/>
    </row>
    <row r="94" spans="1:25" s="353" customFormat="1" ht="15.75" thickBot="1">
      <c r="A94" s="337"/>
      <c r="B94" s="341"/>
      <c r="C94" s="365"/>
      <c r="D94" s="366"/>
      <c r="E94" s="366"/>
      <c r="F94" s="366"/>
      <c r="G94" s="366"/>
      <c r="H94" s="366"/>
      <c r="I94" s="366"/>
      <c r="J94" s="366"/>
      <c r="K94" s="366"/>
      <c r="L94" s="366"/>
      <c r="M94" s="366"/>
      <c r="N94" s="366"/>
      <c r="O94" s="367"/>
      <c r="P94" s="367"/>
      <c r="Q94" s="367"/>
      <c r="R94" s="367"/>
      <c r="S94" s="367"/>
      <c r="T94" s="367"/>
      <c r="U94" s="367"/>
      <c r="V94" s="388"/>
      <c r="W94" s="367"/>
      <c r="Y94" s="534"/>
    </row>
    <row r="95" spans="2:25" s="343" customFormat="1" ht="15.75" thickBot="1">
      <c r="B95" s="344"/>
      <c r="C95" s="344"/>
      <c r="D95" s="344"/>
      <c r="E95" s="344"/>
      <c r="F95" s="455" t="s">
        <v>276</v>
      </c>
      <c r="G95" s="696" t="s">
        <v>313</v>
      </c>
      <c r="H95" s="696"/>
      <c r="I95" s="697"/>
      <c r="J95" s="368"/>
      <c r="K95" s="368"/>
      <c r="L95" s="368"/>
      <c r="M95" s="368"/>
      <c r="N95" s="368"/>
      <c r="O95" s="368"/>
      <c r="P95" s="368"/>
      <c r="Q95" s="368"/>
      <c r="R95" s="368"/>
      <c r="S95" s="368"/>
      <c r="T95" s="368"/>
      <c r="U95" s="369"/>
      <c r="V95" s="370"/>
      <c r="W95" s="370"/>
      <c r="Y95" s="526"/>
    </row>
    <row r="96" spans="2:25" s="348" customFormat="1" ht="36" customHeight="1" thickBot="1">
      <c r="B96" s="430" t="s">
        <v>270</v>
      </c>
      <c r="C96" s="426" t="s">
        <v>98</v>
      </c>
      <c r="D96" s="426" t="s">
        <v>99</v>
      </c>
      <c r="E96" s="427" t="s">
        <v>228</v>
      </c>
      <c r="F96" s="428" t="s">
        <v>1</v>
      </c>
      <c r="G96" s="428" t="s">
        <v>1</v>
      </c>
      <c r="H96" s="428" t="s">
        <v>34</v>
      </c>
      <c r="I96" s="428" t="s">
        <v>2</v>
      </c>
      <c r="J96" s="429" t="s">
        <v>3</v>
      </c>
      <c r="K96" s="429" t="s">
        <v>4</v>
      </c>
      <c r="L96" s="429" t="s">
        <v>5</v>
      </c>
      <c r="M96" s="429" t="s">
        <v>6</v>
      </c>
      <c r="N96" s="429" t="s">
        <v>7</v>
      </c>
      <c r="O96" s="429" t="s">
        <v>8</v>
      </c>
      <c r="P96" s="429" t="s">
        <v>9</v>
      </c>
      <c r="Q96" s="429" t="s">
        <v>10</v>
      </c>
      <c r="R96" s="429" t="s">
        <v>11</v>
      </c>
      <c r="S96" s="429" t="s">
        <v>12</v>
      </c>
      <c r="T96" s="429" t="s">
        <v>13</v>
      </c>
      <c r="U96" s="429" t="s">
        <v>14</v>
      </c>
      <c r="V96" s="429" t="s">
        <v>87</v>
      </c>
      <c r="W96" s="448" t="s">
        <v>125</v>
      </c>
      <c r="Y96" s="527" t="s">
        <v>382</v>
      </c>
    </row>
    <row r="97" spans="1:25" ht="15">
      <c r="A97" s="337">
        <v>58</v>
      </c>
      <c r="B97" s="440" t="s">
        <v>261</v>
      </c>
      <c r="C97" s="349">
        <v>44564</v>
      </c>
      <c r="D97" s="349">
        <v>44651</v>
      </c>
      <c r="E97" s="441">
        <f>DAYS360(C97,D97)+1</f>
        <v>89</v>
      </c>
      <c r="F97" s="350">
        <v>0</v>
      </c>
      <c r="G97" s="350">
        <f>+G13</f>
        <v>4638656.4</v>
      </c>
      <c r="H97" s="350"/>
      <c r="I97" s="350">
        <f>SUM(G97:H97)</f>
        <v>4638656.4</v>
      </c>
      <c r="J97" s="350">
        <f>ROUND(+((G97/'SUPUESTOS GASTOS'!$F$12)*E97),0)</f>
        <v>13761347</v>
      </c>
      <c r="K97" s="350">
        <f>ROUND(+((I97*E97)/'SUPUESTOS GASTOS'!$F$10),0)</f>
        <v>1146779</v>
      </c>
      <c r="L97" s="350">
        <f>((I97*12%)*8%)</f>
        <v>44531.101440000006</v>
      </c>
      <c r="M97" s="350">
        <f>+K97</f>
        <v>1146779</v>
      </c>
      <c r="N97" s="350">
        <f>ROUND(+(G97*E97)/720,0)</f>
        <v>573389</v>
      </c>
      <c r="O97" s="350">
        <f>ROUNDUP((+$J97)*'SUPUESTOS GASTOS'!$F$19,-3)</f>
        <v>1652000</v>
      </c>
      <c r="P97" s="350">
        <f>ROUNDUP((+$J97)*'SUPUESTOS GASTOS'!$F$20,-3)</f>
        <v>1170000</v>
      </c>
      <c r="Q97" s="372">
        <f>ROUNDUP((+$J97)*'SUPUESTOS GASTOS'!$F$23,-3)</f>
        <v>336000</v>
      </c>
      <c r="R97" s="350">
        <f>ROUND((J97*4%),3)</f>
        <v>550453.88</v>
      </c>
      <c r="S97" s="350">
        <f>ROUND((J97*2%),0+3)</f>
        <v>275226.94</v>
      </c>
      <c r="T97" s="350">
        <f>ROUND((J97*3%),3)</f>
        <v>412840.41</v>
      </c>
      <c r="U97" s="350">
        <f>SUM(J97:T97)</f>
        <v>21069346.331439998</v>
      </c>
      <c r="V97" s="350"/>
      <c r="W97" s="443">
        <f>+V97+U97</f>
        <v>21069346.331439998</v>
      </c>
      <c r="Y97" s="530">
        <v>0.02436</v>
      </c>
    </row>
    <row r="98" spans="1:25" ht="15">
      <c r="A98" s="337">
        <v>59</v>
      </c>
      <c r="B98" s="383" t="s">
        <v>365</v>
      </c>
      <c r="C98" s="351">
        <v>44593</v>
      </c>
      <c r="D98" s="351">
        <v>44651</v>
      </c>
      <c r="E98" s="384">
        <f>DAYS360(C98,D98)+1</f>
        <v>61</v>
      </c>
      <c r="F98" s="352">
        <v>0</v>
      </c>
      <c r="G98" s="352">
        <f>+G24</f>
        <v>3894532.95</v>
      </c>
      <c r="H98" s="352"/>
      <c r="I98" s="352">
        <f>SUM(G98:H98)</f>
        <v>3894532.95</v>
      </c>
      <c r="J98" s="352">
        <f>ROUND(+((G98/'SUPUESTOS GASTOS'!$F$12)*E98),0)</f>
        <v>7918884</v>
      </c>
      <c r="K98" s="352">
        <f>ROUND(+((I98*E98)/'SUPUESTOS GASTOS'!$F$10),0)</f>
        <v>659907</v>
      </c>
      <c r="L98" s="352">
        <f>((I98*12%)*8%)</f>
        <v>37387.51632</v>
      </c>
      <c r="M98" s="352">
        <f>+K98</f>
        <v>659907</v>
      </c>
      <c r="N98" s="352">
        <f>ROUND(+(G98*E98)/720,0)</f>
        <v>329953</v>
      </c>
      <c r="O98" s="352">
        <f>ROUNDUP((+$J98)*'SUPUESTOS GASTOS'!$F$19,-3)</f>
        <v>951000</v>
      </c>
      <c r="P98" s="352">
        <f>ROUNDUP((+$J98)*'SUPUESTOS GASTOS'!$F$20,-3)</f>
        <v>674000</v>
      </c>
      <c r="Q98" s="373">
        <f>ROUNDUP((+$J98)*'SUPUESTOS GASTOS'!$F$23,-3)</f>
        <v>193000</v>
      </c>
      <c r="R98" s="352">
        <f>ROUND((J98*4%),3)</f>
        <v>316755.36</v>
      </c>
      <c r="S98" s="352">
        <f>ROUND((J98*2%),0+3)</f>
        <v>158377.68</v>
      </c>
      <c r="T98" s="352">
        <f>ROUND((J98*3%),3)</f>
        <v>237566.52</v>
      </c>
      <c r="U98" s="352">
        <f>SUM(J98:T98)</f>
        <v>12136738.076319998</v>
      </c>
      <c r="V98" s="352"/>
      <c r="W98" s="431">
        <f>+V98+U98</f>
        <v>12136738.076319998</v>
      </c>
      <c r="Y98" s="531">
        <v>0.02436</v>
      </c>
    </row>
    <row r="99" spans="1:25" ht="15.75" thickBot="1">
      <c r="A99" s="337">
        <v>60</v>
      </c>
      <c r="B99" s="385" t="s">
        <v>366</v>
      </c>
      <c r="C99" s="376">
        <v>44564</v>
      </c>
      <c r="D99" s="376">
        <v>44651</v>
      </c>
      <c r="E99" s="386">
        <f>DAYS360(C99,D99)+1</f>
        <v>89</v>
      </c>
      <c r="F99" s="377">
        <v>0</v>
      </c>
      <c r="G99" s="377">
        <f>+G7</f>
        <v>2378798.1</v>
      </c>
      <c r="H99" s="377"/>
      <c r="I99" s="377">
        <f>SUM(G99:H99)</f>
        <v>2378798.1</v>
      </c>
      <c r="J99" s="377">
        <f>ROUND(+((G99/'SUPUESTOS GASTOS'!$F$12)*E99),0)</f>
        <v>7057101</v>
      </c>
      <c r="K99" s="377">
        <f>ROUND(+((I99*E99)/'SUPUESTOS GASTOS'!$F$10),0)</f>
        <v>588092</v>
      </c>
      <c r="L99" s="377">
        <f>((I99*12%)*8%)</f>
        <v>22836.461760000002</v>
      </c>
      <c r="M99" s="377">
        <f>+K99</f>
        <v>588092</v>
      </c>
      <c r="N99" s="377">
        <f>ROUND(+(G99*E99)/720,0)</f>
        <v>294046</v>
      </c>
      <c r="O99" s="377">
        <f>ROUNDUP((+$J99)*'SUPUESTOS GASTOS'!$F$19,-3)</f>
        <v>847000</v>
      </c>
      <c r="P99" s="377">
        <f>ROUNDUP((+$J99)*'SUPUESTOS GASTOS'!$F$20,-3)</f>
        <v>600000</v>
      </c>
      <c r="Q99" s="453">
        <f>ROUNDUP((+$J99)*'SUPUESTOS GASTOS'!$F$23,-3)</f>
        <v>172000</v>
      </c>
      <c r="R99" s="377">
        <f>ROUND((J99*4%),3)</f>
        <v>282284.04</v>
      </c>
      <c r="S99" s="377">
        <f>ROUND((J99*2%),0+3)</f>
        <v>141142.02</v>
      </c>
      <c r="T99" s="377">
        <f>ROUND((J99*3%),3)</f>
        <v>211713.03</v>
      </c>
      <c r="U99" s="377">
        <f>SUM(J99:T99)</f>
        <v>10804306.551759997</v>
      </c>
      <c r="V99" s="377"/>
      <c r="W99" s="445">
        <f>+V99+U99</f>
        <v>10804306.551759997</v>
      </c>
      <c r="Y99" s="532">
        <v>0.02436</v>
      </c>
    </row>
    <row r="100" spans="1:25" s="353" customFormat="1" ht="15.75" thickBot="1">
      <c r="A100" s="337"/>
      <c r="B100" s="436" t="s">
        <v>28</v>
      </c>
      <c r="C100" s="380"/>
      <c r="D100" s="380"/>
      <c r="E100" s="437"/>
      <c r="F100" s="451">
        <f aca="true" t="shared" si="33" ref="F100:W100">SUM(F97:F99)</f>
        <v>0</v>
      </c>
      <c r="G100" s="451">
        <f t="shared" si="33"/>
        <v>10911987.450000001</v>
      </c>
      <c r="H100" s="381">
        <f t="shared" si="33"/>
        <v>0</v>
      </c>
      <c r="I100" s="451">
        <f t="shared" si="33"/>
        <v>10911987.450000001</v>
      </c>
      <c r="J100" s="451">
        <f t="shared" si="33"/>
        <v>28737332</v>
      </c>
      <c r="K100" s="451">
        <f t="shared" si="33"/>
        <v>2394778</v>
      </c>
      <c r="L100" s="451">
        <f t="shared" si="33"/>
        <v>104755.07952000001</v>
      </c>
      <c r="M100" s="451">
        <f t="shared" si="33"/>
        <v>2394778</v>
      </c>
      <c r="N100" s="451">
        <f t="shared" si="33"/>
        <v>1197388</v>
      </c>
      <c r="O100" s="452">
        <f t="shared" si="33"/>
        <v>3450000</v>
      </c>
      <c r="P100" s="452">
        <f t="shared" si="33"/>
        <v>2444000</v>
      </c>
      <c r="Q100" s="452">
        <f t="shared" si="33"/>
        <v>701000</v>
      </c>
      <c r="R100" s="452">
        <f t="shared" si="33"/>
        <v>1149493.28</v>
      </c>
      <c r="S100" s="452">
        <f t="shared" si="33"/>
        <v>574746.64</v>
      </c>
      <c r="T100" s="452">
        <f t="shared" si="33"/>
        <v>862119.96</v>
      </c>
      <c r="U100" s="452">
        <f t="shared" si="33"/>
        <v>44010390.95951999</v>
      </c>
      <c r="V100" s="438">
        <f t="shared" si="33"/>
        <v>0</v>
      </c>
      <c r="W100" s="439">
        <f t="shared" si="33"/>
        <v>44010390.95951999</v>
      </c>
      <c r="Y100" s="536"/>
    </row>
    <row r="101" spans="2:25" ht="15.75" thickBot="1">
      <c r="B101" s="337"/>
      <c r="C101" s="337"/>
      <c r="D101" s="337"/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  <c r="T101" s="337"/>
      <c r="U101" s="337"/>
      <c r="V101" s="337"/>
      <c r="W101" s="337"/>
      <c r="Y101" s="332"/>
    </row>
    <row r="102" spans="1:25" s="353" customFormat="1" ht="15.75" thickBot="1">
      <c r="A102" s="337"/>
      <c r="B102" s="693" t="s">
        <v>146</v>
      </c>
      <c r="C102" s="694"/>
      <c r="D102" s="694"/>
      <c r="E102" s="695"/>
      <c r="F102" s="389">
        <f>+F9+F29</f>
        <v>32011308</v>
      </c>
      <c r="G102" s="389">
        <f>+G9+G29</f>
        <v>42757957.20000001</v>
      </c>
      <c r="H102" s="389">
        <f>(+H27/30*E27)*2</f>
        <v>663208.4199999999</v>
      </c>
      <c r="I102" s="389">
        <f aca="true" t="shared" si="34" ref="I102:W102">+I9+I29</f>
        <v>42981510.60000001</v>
      </c>
      <c r="J102" s="389">
        <f t="shared" si="34"/>
        <v>120997293</v>
      </c>
      <c r="K102" s="389">
        <f t="shared" si="34"/>
        <v>10138378</v>
      </c>
      <c r="L102" s="389">
        <f t="shared" si="34"/>
        <v>412622.5017600001</v>
      </c>
      <c r="M102" s="389">
        <f t="shared" si="34"/>
        <v>10138378</v>
      </c>
      <c r="N102" s="389">
        <f t="shared" si="34"/>
        <v>5041550</v>
      </c>
      <c r="O102" s="389">
        <f t="shared" si="34"/>
        <v>14523000</v>
      </c>
      <c r="P102" s="389">
        <f t="shared" si="34"/>
        <v>10292000</v>
      </c>
      <c r="Q102" s="389">
        <f t="shared" si="34"/>
        <v>3820000</v>
      </c>
      <c r="R102" s="389">
        <f t="shared" si="34"/>
        <v>4839891.72</v>
      </c>
      <c r="S102" s="389">
        <f t="shared" si="34"/>
        <v>2419945.86</v>
      </c>
      <c r="T102" s="389">
        <f t="shared" si="34"/>
        <v>3629918.7899999996</v>
      </c>
      <c r="U102" s="389">
        <f t="shared" si="34"/>
        <v>186916185.9496</v>
      </c>
      <c r="V102" s="389">
        <f t="shared" si="34"/>
        <v>0</v>
      </c>
      <c r="W102" s="354">
        <f t="shared" si="34"/>
        <v>186916185.9496</v>
      </c>
      <c r="X102" s="390"/>
      <c r="Y102" s="332"/>
    </row>
    <row r="103" spans="1:25" s="353" customFormat="1" ht="15.75" thickBot="1">
      <c r="A103" s="337"/>
      <c r="B103" s="693" t="s">
        <v>147</v>
      </c>
      <c r="C103" s="694"/>
      <c r="D103" s="694"/>
      <c r="E103" s="695"/>
      <c r="F103" s="389">
        <f>+F39+F71+F80+F87+F93+F100</f>
        <v>79665436</v>
      </c>
      <c r="G103" s="389">
        <f>+G39+G71+G80+G87+G93+G100</f>
        <v>111813369.15000002</v>
      </c>
      <c r="H103" s="389">
        <f>+H71/30*E44</f>
        <v>331604.20999999996</v>
      </c>
      <c r="I103" s="389">
        <f>+I39+I71+I80+I87+I93+I100</f>
        <v>111925145.85000002</v>
      </c>
      <c r="J103" s="389">
        <f>+J39+J71+J80+J87+J93+J100</f>
        <v>312917389</v>
      </c>
      <c r="K103" s="389">
        <f aca="true" t="shared" si="35" ref="K103:W103">+K39+K71+K80+K87+K93+K100</f>
        <v>25862957</v>
      </c>
      <c r="L103" s="389">
        <f t="shared" si="35"/>
        <v>1065323.4580799998</v>
      </c>
      <c r="M103" s="389">
        <f t="shared" si="35"/>
        <v>25862957</v>
      </c>
      <c r="N103" s="389">
        <f t="shared" si="35"/>
        <v>12917658</v>
      </c>
      <c r="O103" s="389">
        <f t="shared" si="35"/>
        <v>37216000</v>
      </c>
      <c r="P103" s="389">
        <f t="shared" si="35"/>
        <v>26721000</v>
      </c>
      <c r="Q103" s="389">
        <f t="shared" si="35"/>
        <v>10876000</v>
      </c>
      <c r="R103" s="389">
        <f t="shared" si="35"/>
        <v>12400949.360000001</v>
      </c>
      <c r="S103" s="389">
        <f t="shared" si="35"/>
        <v>6200474.680000001</v>
      </c>
      <c r="T103" s="389">
        <f t="shared" si="35"/>
        <v>9300712.02</v>
      </c>
      <c r="U103" s="389">
        <f t="shared" si="35"/>
        <v>481673025.2584</v>
      </c>
      <c r="V103" s="389">
        <f t="shared" si="35"/>
        <v>0</v>
      </c>
      <c r="W103" s="354">
        <f t="shared" si="35"/>
        <v>481673025.2584</v>
      </c>
      <c r="X103" s="390"/>
      <c r="Y103" s="332"/>
    </row>
    <row r="104" spans="1:25" s="353" customFormat="1" ht="15.75" thickBot="1">
      <c r="A104" s="337"/>
      <c r="B104" s="693" t="s">
        <v>148</v>
      </c>
      <c r="C104" s="694"/>
      <c r="D104" s="694"/>
      <c r="E104" s="695"/>
      <c r="F104" s="389">
        <f>+F102+F103</f>
        <v>111676744</v>
      </c>
      <c r="G104" s="389">
        <f>+G102+G103</f>
        <v>154571326.35000002</v>
      </c>
      <c r="H104" s="389">
        <f aca="true" t="shared" si="36" ref="H104:V104">+H102+H103</f>
        <v>994812.6299999999</v>
      </c>
      <c r="I104" s="389">
        <f t="shared" si="36"/>
        <v>154906656.45000005</v>
      </c>
      <c r="J104" s="389">
        <f>+J102+J103</f>
        <v>433914682</v>
      </c>
      <c r="K104" s="389">
        <f>+K102+K103</f>
        <v>36001335</v>
      </c>
      <c r="L104" s="389">
        <f t="shared" si="36"/>
        <v>1477945.95984</v>
      </c>
      <c r="M104" s="389">
        <f t="shared" si="36"/>
        <v>36001335</v>
      </c>
      <c r="N104" s="389">
        <f t="shared" si="36"/>
        <v>17959208</v>
      </c>
      <c r="O104" s="389">
        <f t="shared" si="36"/>
        <v>51739000</v>
      </c>
      <c r="P104" s="389">
        <f t="shared" si="36"/>
        <v>37013000</v>
      </c>
      <c r="Q104" s="389">
        <f t="shared" si="36"/>
        <v>14696000</v>
      </c>
      <c r="R104" s="389">
        <f t="shared" si="36"/>
        <v>17240841.080000002</v>
      </c>
      <c r="S104" s="389">
        <f t="shared" si="36"/>
        <v>8620420.540000001</v>
      </c>
      <c r="T104" s="389">
        <f t="shared" si="36"/>
        <v>12930630.809999999</v>
      </c>
      <c r="U104" s="389">
        <f t="shared" si="36"/>
        <v>668589211.2080001</v>
      </c>
      <c r="V104" s="389">
        <f t="shared" si="36"/>
        <v>0</v>
      </c>
      <c r="W104" s="354">
        <f>+W102+W103</f>
        <v>668589211.2080001</v>
      </c>
      <c r="Y104" s="332"/>
    </row>
    <row r="105" spans="6:25" ht="15">
      <c r="F105" s="391"/>
      <c r="Y105" s="332"/>
    </row>
    <row r="106" spans="6:25" ht="15">
      <c r="F106" s="391"/>
      <c r="G106" s="391"/>
      <c r="H106" s="391"/>
      <c r="I106" s="391"/>
      <c r="J106" s="391"/>
      <c r="K106" s="391"/>
      <c r="L106" s="391"/>
      <c r="M106" s="391"/>
      <c r="N106" s="391"/>
      <c r="O106" s="391"/>
      <c r="P106" s="391"/>
      <c r="Q106" s="391"/>
      <c r="R106" s="391"/>
      <c r="S106" s="391"/>
      <c r="T106" s="391"/>
      <c r="U106" s="391"/>
      <c r="V106" s="391"/>
      <c r="W106" s="391"/>
      <c r="Y106" s="332"/>
    </row>
    <row r="107" spans="7:25" ht="15">
      <c r="G107" s="393"/>
      <c r="O107" s="340"/>
      <c r="P107" s="340"/>
      <c r="Q107" s="340"/>
      <c r="R107" s="340"/>
      <c r="S107" s="340"/>
      <c r="T107" s="340"/>
      <c r="U107" s="340"/>
      <c r="V107" s="340"/>
      <c r="W107" s="340"/>
      <c r="Y107" s="332"/>
    </row>
    <row r="108" ht="15">
      <c r="G108" s="393"/>
    </row>
    <row r="109" ht="15">
      <c r="F109" s="481"/>
    </row>
    <row r="110" ht="15">
      <c r="G110" s="393"/>
    </row>
  </sheetData>
  <sheetProtection/>
  <autoFilter ref="B1:W104"/>
  <mergeCells count="13">
    <mergeCell ref="G41:I41"/>
    <mergeCell ref="B2:W2"/>
    <mergeCell ref="B3:W3"/>
    <mergeCell ref="G5:I5"/>
    <mergeCell ref="G11:I11"/>
    <mergeCell ref="G33:I33"/>
    <mergeCell ref="B104:E104"/>
    <mergeCell ref="G75:I75"/>
    <mergeCell ref="G83:I83"/>
    <mergeCell ref="G89:I89"/>
    <mergeCell ref="G95:I95"/>
    <mergeCell ref="B102:E102"/>
    <mergeCell ref="B103:E103"/>
  </mergeCells>
  <printOptions/>
  <pageMargins left="0.1968503937007874" right="0.1968503937007874" top="0.5905511811023623" bottom="0.3937007874015748" header="0.31496062992125984" footer="0.31496062992125984"/>
  <pageSetup horizontalDpi="1200" verticalDpi="12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Y122"/>
  <sheetViews>
    <sheetView tabSelected="1" zoomScale="70" zoomScaleNormal="70" zoomScalePageLayoutView="0" workbookViewId="0" topLeftCell="B1">
      <selection activeCell="B4" sqref="B4:N4"/>
    </sheetView>
  </sheetViews>
  <sheetFormatPr defaultColWidth="50.7109375" defaultRowHeight="15" outlineLevelCol="1"/>
  <cols>
    <col min="1" max="1" width="0.71875" style="288" hidden="1" customWidth="1"/>
    <col min="2" max="2" width="36.421875" style="288" customWidth="1"/>
    <col min="3" max="3" width="19.421875" style="3" customWidth="1"/>
    <col min="4" max="4" width="18.421875" style="3" customWidth="1" outlineLevel="1"/>
    <col min="5" max="6" width="20.7109375" style="3" customWidth="1" outlineLevel="1"/>
    <col min="7" max="7" width="19.140625" style="3" customWidth="1" outlineLevel="1"/>
    <col min="8" max="8" width="17.8515625" style="3" customWidth="1" outlineLevel="1"/>
    <col min="9" max="9" width="16.00390625" style="3" customWidth="1" outlineLevel="1"/>
    <col min="10" max="11" width="15.7109375" style="3" customWidth="1" outlineLevel="1"/>
    <col min="12" max="12" width="18.28125" style="3" customWidth="1" outlineLevel="1"/>
    <col min="13" max="13" width="14.8515625" style="3" customWidth="1" outlineLevel="1"/>
    <col min="14" max="14" width="19.421875" style="3" customWidth="1"/>
    <col min="15" max="15" width="7.421875" style="665" customWidth="1"/>
    <col min="16" max="16" width="19.28125" style="3" customWidth="1" outlineLevel="1"/>
    <col min="17" max="17" width="20.28125" style="3" customWidth="1" outlineLevel="1"/>
    <col min="18" max="18" width="19.140625" style="3" customWidth="1" outlineLevel="1"/>
    <col min="19" max="19" width="18.8515625" style="3" customWidth="1" outlineLevel="1"/>
    <col min="20" max="20" width="16.421875" style="3" bestFit="1" customWidth="1"/>
    <col min="21" max="21" width="19.421875" style="3" customWidth="1"/>
    <col min="22" max="22" width="19.140625" style="3" customWidth="1"/>
    <col min="23" max="23" width="19.421875" style="288" hidden="1" customWidth="1"/>
    <col min="24" max="24" width="28.140625" style="662" customWidth="1"/>
    <col min="25" max="25" width="20.57421875" style="288" bestFit="1" customWidth="1"/>
    <col min="26" max="26" width="16.57421875" style="288" customWidth="1"/>
    <col min="27" max="27" width="15.00390625" style="288" bestFit="1" customWidth="1"/>
    <col min="28" max="28" width="15.00390625" style="288" customWidth="1"/>
    <col min="29" max="29" width="16.00390625" style="288" bestFit="1" customWidth="1"/>
    <col min="30" max="30" width="15.00390625" style="288" customWidth="1"/>
    <col min="31" max="220" width="11.421875" style="288" customWidth="1"/>
    <col min="221" max="221" width="0" style="288" hidden="1" customWidth="1"/>
    <col min="222" max="16384" width="50.7109375" style="288" customWidth="1"/>
  </cols>
  <sheetData>
    <row r="1" ht="15.75"/>
    <row r="2" spans="2:14" ht="15.75">
      <c r="B2" s="699" t="s">
        <v>47</v>
      </c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</row>
    <row r="3" spans="2:14" ht="15.75">
      <c r="B3" s="699" t="s">
        <v>48</v>
      </c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</row>
    <row r="4" spans="2:14" ht="15.75">
      <c r="B4" s="699" t="s">
        <v>369</v>
      </c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</row>
    <row r="5" spans="2:14" ht="15.75">
      <c r="B5" s="699" t="s">
        <v>49</v>
      </c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</row>
    <row r="6" spans="2:14" ht="15.75">
      <c r="B6" s="700" t="s">
        <v>415</v>
      </c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</row>
    <row r="7" spans="2:22" ht="16.5" thickBot="1">
      <c r="B7" s="59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5"/>
      <c r="T7" s="5"/>
      <c r="U7" s="5"/>
      <c r="V7" s="5"/>
    </row>
    <row r="8" spans="2:22" ht="15.75">
      <c r="B8" s="701" t="s">
        <v>50</v>
      </c>
      <c r="C8" s="6" t="s">
        <v>416</v>
      </c>
      <c r="D8" s="6" t="s">
        <v>417</v>
      </c>
      <c r="E8" s="6" t="s">
        <v>418</v>
      </c>
      <c r="F8" s="6" t="s">
        <v>419</v>
      </c>
      <c r="G8" s="6" t="s">
        <v>420</v>
      </c>
      <c r="H8" s="6" t="s">
        <v>421</v>
      </c>
      <c r="I8" s="6" t="s">
        <v>422</v>
      </c>
      <c r="J8" s="6" t="s">
        <v>419</v>
      </c>
      <c r="K8" s="6" t="s">
        <v>419</v>
      </c>
      <c r="L8" s="6" t="s">
        <v>423</v>
      </c>
      <c r="M8" s="6" t="s">
        <v>424</v>
      </c>
      <c r="N8" s="7" t="s">
        <v>128</v>
      </c>
      <c r="P8" s="608" t="s">
        <v>414</v>
      </c>
      <c r="Q8" s="6" t="s">
        <v>414</v>
      </c>
      <c r="R8" s="6" t="s">
        <v>414</v>
      </c>
      <c r="S8" s="6" t="s">
        <v>414</v>
      </c>
      <c r="T8" s="625" t="s">
        <v>425</v>
      </c>
      <c r="U8" s="632" t="s">
        <v>414</v>
      </c>
      <c r="V8" s="647" t="s">
        <v>413</v>
      </c>
    </row>
    <row r="9" spans="2:22" ht="12.75" customHeight="1" thickBot="1">
      <c r="B9" s="702"/>
      <c r="C9" s="9" t="s">
        <v>426</v>
      </c>
      <c r="D9" s="9" t="s">
        <v>427</v>
      </c>
      <c r="E9" s="9" t="s">
        <v>428</v>
      </c>
      <c r="F9" s="9" t="s">
        <v>429</v>
      </c>
      <c r="G9" s="9" t="s">
        <v>428</v>
      </c>
      <c r="H9" s="9" t="s">
        <v>428</v>
      </c>
      <c r="I9" s="9" t="s">
        <v>430</v>
      </c>
      <c r="J9" s="9" t="s">
        <v>431</v>
      </c>
      <c r="K9" s="9" t="s">
        <v>432</v>
      </c>
      <c r="L9" s="9" t="s">
        <v>428</v>
      </c>
      <c r="M9" s="9" t="s">
        <v>445</v>
      </c>
      <c r="N9" s="11" t="s">
        <v>371</v>
      </c>
      <c r="P9" s="609" t="s">
        <v>433</v>
      </c>
      <c r="Q9" s="9" t="s">
        <v>434</v>
      </c>
      <c r="R9" s="9" t="s">
        <v>435</v>
      </c>
      <c r="S9" s="9" t="s">
        <v>436</v>
      </c>
      <c r="T9" s="626" t="s">
        <v>313</v>
      </c>
      <c r="U9" s="633" t="s">
        <v>28</v>
      </c>
      <c r="V9" s="648"/>
    </row>
    <row r="10" spans="2:25" ht="15.75">
      <c r="B10" s="592" t="s">
        <v>54</v>
      </c>
      <c r="C10" s="14">
        <f>SUM(C11:C14)</f>
        <v>12816660968.606773</v>
      </c>
      <c r="D10" s="14">
        <f aca="true" t="shared" si="0" ref="D10:N10">SUM(D11:D14)</f>
        <v>2659828558.514017</v>
      </c>
      <c r="E10" s="14">
        <f t="shared" si="0"/>
        <v>0</v>
      </c>
      <c r="F10" s="14"/>
      <c r="G10" s="14">
        <f t="shared" si="0"/>
        <v>2588853000</v>
      </c>
      <c r="H10" s="14">
        <f t="shared" si="0"/>
        <v>550000000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14">
        <f t="shared" si="0"/>
        <v>2284372000</v>
      </c>
      <c r="M10" s="14">
        <f t="shared" si="0"/>
        <v>0</v>
      </c>
      <c r="N10" s="15">
        <f t="shared" si="0"/>
        <v>20899714527.12079</v>
      </c>
      <c r="P10" s="610">
        <f aca="true" t="shared" si="1" ref="P10:V10">SUM(P11:P14)</f>
        <v>2945010809</v>
      </c>
      <c r="Q10" s="624">
        <f t="shared" si="1"/>
        <v>3311855937</v>
      </c>
      <c r="R10" s="624">
        <f t="shared" si="1"/>
        <v>4394061542</v>
      </c>
      <c r="S10" s="624">
        <f>SUM(S11:S14)</f>
        <v>2541748797</v>
      </c>
      <c r="T10" s="627">
        <f t="shared" si="1"/>
        <v>8268096692.366355</v>
      </c>
      <c r="U10" s="634">
        <f t="shared" si="1"/>
        <v>21460773777.366356</v>
      </c>
      <c r="V10" s="649">
        <f t="shared" si="1"/>
        <v>-561059250.2455647</v>
      </c>
      <c r="Y10" s="590"/>
    </row>
    <row r="11" spans="2:25" ht="15.75">
      <c r="B11" s="593" t="s">
        <v>55</v>
      </c>
      <c r="C11" s="126">
        <v>6477562767.400681</v>
      </c>
      <c r="D11" s="17"/>
      <c r="E11" s="17"/>
      <c r="F11" s="17"/>
      <c r="G11" s="17">
        <v>2175588000</v>
      </c>
      <c r="H11" s="17">
        <v>550000000</v>
      </c>
      <c r="I11" s="17"/>
      <c r="J11" s="17"/>
      <c r="K11" s="17"/>
      <c r="L11" s="17">
        <v>298472000</v>
      </c>
      <c r="M11" s="17"/>
      <c r="N11" s="18">
        <f>SUM(C11:M11)</f>
        <v>9501622767.40068</v>
      </c>
      <c r="P11" s="611">
        <v>2775242208</v>
      </c>
      <c r="Q11" s="126">
        <v>2848469833</v>
      </c>
      <c r="R11" s="126">
        <v>2087079235</v>
      </c>
      <c r="S11" s="126">
        <v>2363600084</v>
      </c>
      <c r="T11" s="49">
        <v>6172568</v>
      </c>
      <c r="U11" s="635">
        <f>SUM(P11:T11)</f>
        <v>10080563928</v>
      </c>
      <c r="V11" s="650">
        <f>+N11-U11</f>
        <v>-578941160.5993195</v>
      </c>
      <c r="Y11" s="590"/>
    </row>
    <row r="12" spans="2:25" ht="15.75">
      <c r="B12" s="593" t="s">
        <v>138</v>
      </c>
      <c r="C12" s="126">
        <v>419478712.35375476</v>
      </c>
      <c r="D12" s="17"/>
      <c r="E12" s="17"/>
      <c r="F12" s="17"/>
      <c r="G12" s="17">
        <v>263265000</v>
      </c>
      <c r="H12" s="17"/>
      <c r="I12" s="17"/>
      <c r="J12" s="17"/>
      <c r="K12" s="17"/>
      <c r="L12" s="17">
        <v>603900000</v>
      </c>
      <c r="M12" s="17"/>
      <c r="N12" s="18">
        <f>SUM(C12:M12)</f>
        <v>1286643712.3537548</v>
      </c>
      <c r="P12" s="611">
        <v>130774414</v>
      </c>
      <c r="Q12" s="126">
        <v>198442361</v>
      </c>
      <c r="R12" s="126">
        <v>868580564</v>
      </c>
      <c r="S12" s="126">
        <v>93883572</v>
      </c>
      <c r="T12" s="49">
        <v>-9020803</v>
      </c>
      <c r="U12" s="635">
        <f>SUM(P12:T12)</f>
        <v>1282660108</v>
      </c>
      <c r="V12" s="650">
        <f>+N12-U12</f>
        <v>3983604.353754759</v>
      </c>
      <c r="W12" s="288" t="s">
        <v>437</v>
      </c>
      <c r="Y12" s="590"/>
    </row>
    <row r="13" spans="2:25" ht="15.75">
      <c r="B13" s="593" t="s">
        <v>56</v>
      </c>
      <c r="C13" s="126">
        <v>308500000</v>
      </c>
      <c r="D13" s="19"/>
      <c r="E13" s="19"/>
      <c r="F13" s="19"/>
      <c r="G13" s="19">
        <v>150000000</v>
      </c>
      <c r="H13" s="19"/>
      <c r="I13" s="19"/>
      <c r="J13" s="19"/>
      <c r="K13" s="19"/>
      <c r="L13" s="19">
        <v>1382000000</v>
      </c>
      <c r="M13" s="19"/>
      <c r="N13" s="18">
        <f>SUM(C13:M13)</f>
        <v>1840500000</v>
      </c>
      <c r="P13" s="611">
        <v>38994187</v>
      </c>
      <c r="Q13" s="126">
        <v>264943743</v>
      </c>
      <c r="R13" s="126">
        <v>1438401743</v>
      </c>
      <c r="S13" s="126">
        <v>84265141</v>
      </c>
      <c r="T13" s="49">
        <v>-3120</v>
      </c>
      <c r="U13" s="635">
        <f>SUM(P13:T13)</f>
        <v>1826601694</v>
      </c>
      <c r="V13" s="650">
        <f>+N13-U13</f>
        <v>13898306</v>
      </c>
      <c r="W13" s="288" t="s">
        <v>437</v>
      </c>
      <c r="Y13" s="590"/>
    </row>
    <row r="14" spans="2:25" ht="15.75">
      <c r="B14" s="593" t="s">
        <v>97</v>
      </c>
      <c r="C14" s="126">
        <v>5611119488.852338</v>
      </c>
      <c r="D14" s="19">
        <v>2659828558.514017</v>
      </c>
      <c r="E14" s="19"/>
      <c r="F14" s="19"/>
      <c r="G14" s="19"/>
      <c r="H14" s="19"/>
      <c r="I14" s="19"/>
      <c r="J14" s="19"/>
      <c r="K14" s="19"/>
      <c r="L14" s="19"/>
      <c r="M14" s="19"/>
      <c r="N14" s="18">
        <f>SUM(C14:M14)</f>
        <v>8270948047.366355</v>
      </c>
      <c r="P14" s="611">
        <v>0</v>
      </c>
      <c r="Q14" s="126">
        <v>0</v>
      </c>
      <c r="R14" s="126"/>
      <c r="S14" s="126">
        <v>0</v>
      </c>
      <c r="T14" s="49">
        <v>8270948047.366355</v>
      </c>
      <c r="U14" s="635">
        <f>SUM(P14:T14)</f>
        <v>8270948047.366355</v>
      </c>
      <c r="V14" s="650">
        <f>+N14-U14</f>
        <v>0</v>
      </c>
      <c r="W14" s="288" t="s">
        <v>438</v>
      </c>
      <c r="Y14" s="590"/>
    </row>
    <row r="15" spans="2:25" ht="15.75">
      <c r="B15" s="594" t="s">
        <v>57</v>
      </c>
      <c r="C15" s="21">
        <f>+SUM(C16:C17)</f>
        <v>236092104.28907442</v>
      </c>
      <c r="D15" s="21">
        <f aca="true" t="shared" si="2" ref="D15:N15">+SUM(D16:D17)</f>
        <v>0</v>
      </c>
      <c r="E15" s="21">
        <f t="shared" si="2"/>
        <v>0</v>
      </c>
      <c r="F15" s="21"/>
      <c r="G15" s="21">
        <f t="shared" si="2"/>
        <v>2500000</v>
      </c>
      <c r="H15" s="21">
        <f t="shared" si="2"/>
        <v>307073328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49200000</v>
      </c>
      <c r="M15" s="21">
        <f t="shared" si="2"/>
        <v>0</v>
      </c>
      <c r="N15" s="22">
        <f t="shared" si="2"/>
        <v>594865432.2890744</v>
      </c>
      <c r="P15" s="612">
        <f aca="true" t="shared" si="3" ref="P15:V15">+SUM(P16:P17)</f>
        <v>70208336</v>
      </c>
      <c r="Q15" s="21">
        <f t="shared" si="3"/>
        <v>116322426</v>
      </c>
      <c r="R15" s="21">
        <f t="shared" si="3"/>
        <v>194847354</v>
      </c>
      <c r="S15" s="21">
        <f t="shared" si="3"/>
        <v>265190979</v>
      </c>
      <c r="T15" s="22">
        <f t="shared" si="3"/>
        <v>606347</v>
      </c>
      <c r="U15" s="636">
        <f t="shared" si="3"/>
        <v>647175442</v>
      </c>
      <c r="V15" s="651">
        <f t="shared" si="3"/>
        <v>-52310009.71092558</v>
      </c>
      <c r="Y15" s="590"/>
    </row>
    <row r="16" spans="2:25" ht="15.75">
      <c r="B16" s="593" t="s">
        <v>58</v>
      </c>
      <c r="C16" s="17">
        <v>3000000</v>
      </c>
      <c r="D16" s="17"/>
      <c r="E16" s="17"/>
      <c r="F16" s="17"/>
      <c r="G16" s="17">
        <v>2500000</v>
      </c>
      <c r="H16" s="17"/>
      <c r="I16" s="17"/>
      <c r="J16" s="17"/>
      <c r="K16" s="17"/>
      <c r="L16" s="17"/>
      <c r="M16" s="17"/>
      <c r="N16" s="18">
        <f>SUM(C16:M16)</f>
        <v>5500000</v>
      </c>
      <c r="P16" s="613">
        <v>3915940</v>
      </c>
      <c r="Q16" s="17">
        <v>3399</v>
      </c>
      <c r="R16" s="126">
        <v>3098</v>
      </c>
      <c r="S16" s="126">
        <v>2877573</v>
      </c>
      <c r="T16" s="628">
        <v>553821</v>
      </c>
      <c r="U16" s="637">
        <f>SUM(P16:T16)</f>
        <v>7353831</v>
      </c>
      <c r="V16" s="650">
        <f>+N16-U16</f>
        <v>-1853831</v>
      </c>
      <c r="W16" s="288" t="s">
        <v>437</v>
      </c>
      <c r="Y16" s="590"/>
    </row>
    <row r="17" spans="2:25" ht="15">
      <c r="B17" s="593" t="s">
        <v>59</v>
      </c>
      <c r="C17" s="126">
        <v>233092104.28907442</v>
      </c>
      <c r="D17" s="19"/>
      <c r="E17" s="19"/>
      <c r="F17" s="19"/>
      <c r="G17" s="19"/>
      <c r="H17" s="19">
        <v>307073328</v>
      </c>
      <c r="I17" s="19"/>
      <c r="J17" s="19"/>
      <c r="K17" s="19"/>
      <c r="L17" s="19">
        <v>49200000</v>
      </c>
      <c r="M17" s="19"/>
      <c r="N17" s="18">
        <f>SUM(C17:M17)</f>
        <v>589365432.2890744</v>
      </c>
      <c r="P17" s="611">
        <v>66292396</v>
      </c>
      <c r="Q17" s="126">
        <v>116319027</v>
      </c>
      <c r="R17" s="126">
        <v>194844256</v>
      </c>
      <c r="S17" s="126">
        <v>262313406</v>
      </c>
      <c r="T17" s="49">
        <v>52526</v>
      </c>
      <c r="U17" s="635">
        <f>SUM(P17:T17)</f>
        <v>639821611</v>
      </c>
      <c r="V17" s="650">
        <f>+N17-U17</f>
        <v>-50456178.71092558</v>
      </c>
      <c r="W17" s="288" t="s">
        <v>437</v>
      </c>
      <c r="Y17" s="590"/>
    </row>
    <row r="18" spans="2:25" ht="15">
      <c r="B18" s="594" t="s">
        <v>60</v>
      </c>
      <c r="C18" s="21">
        <f>SUM(C10+C15)</f>
        <v>13052753072.895847</v>
      </c>
      <c r="D18" s="21">
        <f aca="true" t="shared" si="4" ref="D18:N18">SUM(D10+D15)</f>
        <v>2659828558.514017</v>
      </c>
      <c r="E18" s="21">
        <f t="shared" si="4"/>
        <v>0</v>
      </c>
      <c r="F18" s="21"/>
      <c r="G18" s="21">
        <f t="shared" si="4"/>
        <v>2591353000</v>
      </c>
      <c r="H18" s="21">
        <f t="shared" si="4"/>
        <v>857073328</v>
      </c>
      <c r="I18" s="21">
        <f t="shared" si="4"/>
        <v>0</v>
      </c>
      <c r="J18" s="21">
        <f t="shared" si="4"/>
        <v>0</v>
      </c>
      <c r="K18" s="21">
        <f t="shared" si="4"/>
        <v>0</v>
      </c>
      <c r="L18" s="21">
        <f t="shared" si="4"/>
        <v>2333572000</v>
      </c>
      <c r="M18" s="21">
        <f t="shared" si="4"/>
        <v>0</v>
      </c>
      <c r="N18" s="22">
        <f t="shared" si="4"/>
        <v>21494579959.409863</v>
      </c>
      <c r="P18" s="612">
        <f aca="true" t="shared" si="5" ref="P18:V18">SUM(P10+P15)</f>
        <v>3015219145</v>
      </c>
      <c r="Q18" s="21">
        <f t="shared" si="5"/>
        <v>3428178363</v>
      </c>
      <c r="R18" s="21">
        <f t="shared" si="5"/>
        <v>4588908896</v>
      </c>
      <c r="S18" s="21">
        <f t="shared" si="5"/>
        <v>2806939776</v>
      </c>
      <c r="T18" s="22">
        <f t="shared" si="5"/>
        <v>8268703039.366355</v>
      </c>
      <c r="U18" s="636">
        <f t="shared" si="5"/>
        <v>22107949219.366356</v>
      </c>
      <c r="V18" s="651">
        <f t="shared" si="5"/>
        <v>-613369259.9564903</v>
      </c>
      <c r="Y18" s="590"/>
    </row>
    <row r="19" spans="2:25" ht="15">
      <c r="B19" s="595" t="s">
        <v>61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P19" s="612"/>
      <c r="Q19" s="21"/>
      <c r="R19" s="21"/>
      <c r="S19" s="21"/>
      <c r="T19" s="22"/>
      <c r="U19" s="636"/>
      <c r="V19" s="651"/>
      <c r="Y19" s="590"/>
    </row>
    <row r="20" spans="2:25" ht="15">
      <c r="B20" s="596" t="s">
        <v>62</v>
      </c>
      <c r="C20" s="21">
        <f>+C21+C33</f>
        <v>1507509757</v>
      </c>
      <c r="D20" s="21">
        <f aca="true" t="shared" si="6" ref="D20:N20">+D21+D33</f>
        <v>0</v>
      </c>
      <c r="E20" s="21">
        <f t="shared" si="6"/>
        <v>7476018</v>
      </c>
      <c r="F20" s="21"/>
      <c r="G20" s="21">
        <f t="shared" si="6"/>
        <v>13500000</v>
      </c>
      <c r="H20" s="21">
        <f t="shared" si="6"/>
        <v>0</v>
      </c>
      <c r="I20" s="21">
        <f t="shared" si="6"/>
        <v>-26300521</v>
      </c>
      <c r="J20" s="21">
        <f t="shared" si="6"/>
        <v>0</v>
      </c>
      <c r="K20" s="21">
        <f t="shared" si="6"/>
        <v>0</v>
      </c>
      <c r="L20" s="21">
        <f t="shared" si="6"/>
        <v>4500000</v>
      </c>
      <c r="M20" s="21">
        <f t="shared" si="6"/>
        <v>0</v>
      </c>
      <c r="N20" s="22">
        <f t="shared" si="6"/>
        <v>1506685254</v>
      </c>
      <c r="P20" s="612">
        <f aca="true" t="shared" si="7" ref="P20:V20">+P21+P33</f>
        <v>404372656.8738967</v>
      </c>
      <c r="Q20" s="21">
        <f t="shared" si="7"/>
        <v>299826460</v>
      </c>
      <c r="R20" s="21">
        <f t="shared" si="7"/>
        <v>323938372.2580645</v>
      </c>
      <c r="S20" s="21">
        <f t="shared" si="7"/>
        <v>318955244</v>
      </c>
      <c r="T20" s="22">
        <f>+T21+T33</f>
        <v>145058.4665333256</v>
      </c>
      <c r="U20" s="636">
        <f t="shared" si="7"/>
        <v>1347237791.5984945</v>
      </c>
      <c r="V20" s="651">
        <f t="shared" si="7"/>
        <v>159447462.4015054</v>
      </c>
      <c r="Y20" s="590"/>
    </row>
    <row r="21" spans="2:25" ht="15">
      <c r="B21" s="597" t="s">
        <v>43</v>
      </c>
      <c r="C21" s="21">
        <f>SUM(C22:C32)</f>
        <v>906190025</v>
      </c>
      <c r="D21" s="21">
        <f aca="true" t="shared" si="8" ref="D21:J21">SUM(D22:D32)</f>
        <v>0</v>
      </c>
      <c r="E21" s="21">
        <f t="shared" si="8"/>
        <v>5743589</v>
      </c>
      <c r="F21" s="21"/>
      <c r="G21" s="21">
        <f t="shared" si="8"/>
        <v>1500000</v>
      </c>
      <c r="H21" s="21">
        <f t="shared" si="8"/>
        <v>0</v>
      </c>
      <c r="I21" s="21">
        <f t="shared" si="8"/>
        <v>-103000</v>
      </c>
      <c r="J21" s="21">
        <f t="shared" si="8"/>
        <v>0</v>
      </c>
      <c r="K21" s="21">
        <f>SUM(K22:K32)</f>
        <v>0</v>
      </c>
      <c r="L21" s="21">
        <f>SUM(L22:L32)</f>
        <v>0</v>
      </c>
      <c r="M21" s="21">
        <f>SUM(M22:M32)</f>
        <v>0</v>
      </c>
      <c r="N21" s="22">
        <f aca="true" t="shared" si="9" ref="N21:N48">SUM(C21:M21)</f>
        <v>913330614</v>
      </c>
      <c r="P21" s="612">
        <f aca="true" t="shared" si="10" ref="P21:V21">SUM(P22:P32)</f>
        <v>207539205</v>
      </c>
      <c r="Q21" s="21">
        <f t="shared" si="10"/>
        <v>207827294</v>
      </c>
      <c r="R21" s="21">
        <f t="shared" si="10"/>
        <v>223542579</v>
      </c>
      <c r="S21" s="21">
        <f t="shared" si="10"/>
        <v>215114913</v>
      </c>
      <c r="T21" s="22">
        <f t="shared" si="10"/>
        <v>0</v>
      </c>
      <c r="U21" s="636">
        <f t="shared" si="10"/>
        <v>854023991</v>
      </c>
      <c r="V21" s="651">
        <f t="shared" si="10"/>
        <v>59306623</v>
      </c>
      <c r="Y21" s="590"/>
    </row>
    <row r="22" spans="2:25" ht="15">
      <c r="B22" s="598" t="s">
        <v>63</v>
      </c>
      <c r="C22" s="17">
        <v>504393646</v>
      </c>
      <c r="D22" s="17"/>
      <c r="E22" s="17">
        <v>2978323</v>
      </c>
      <c r="F22" s="17"/>
      <c r="G22" s="17"/>
      <c r="H22" s="17"/>
      <c r="I22" s="17"/>
      <c r="J22" s="17">
        <v>-975827</v>
      </c>
      <c r="K22" s="17">
        <v>-2209937</v>
      </c>
      <c r="L22" s="17"/>
      <c r="M22" s="17"/>
      <c r="N22" s="18">
        <f t="shared" si="9"/>
        <v>504186205</v>
      </c>
      <c r="P22" s="613">
        <v>116611632</v>
      </c>
      <c r="Q22" s="17">
        <v>117858171</v>
      </c>
      <c r="R22" s="17">
        <v>125530137</v>
      </c>
      <c r="S22" s="17">
        <v>115595282</v>
      </c>
      <c r="T22" s="628"/>
      <c r="U22" s="637">
        <f aca="true" t="shared" si="11" ref="U22:U32">SUM(P22:T22)</f>
        <v>475595222</v>
      </c>
      <c r="V22" s="652">
        <f aca="true" t="shared" si="12" ref="V22:V32">+N22-U22</f>
        <v>28590983</v>
      </c>
      <c r="Y22" s="590"/>
    </row>
    <row r="23" spans="2:25" ht="15">
      <c r="B23" s="598" t="s">
        <v>64</v>
      </c>
      <c r="C23" s="17">
        <v>21016398</v>
      </c>
      <c r="D23" s="17"/>
      <c r="E23" s="17">
        <v>124105</v>
      </c>
      <c r="F23" s="17"/>
      <c r="G23" s="17"/>
      <c r="H23" s="17"/>
      <c r="I23" s="17"/>
      <c r="J23" s="17">
        <v>717236</v>
      </c>
      <c r="K23" s="17">
        <v>939509</v>
      </c>
      <c r="L23" s="17"/>
      <c r="M23" s="17"/>
      <c r="N23" s="18">
        <f t="shared" si="9"/>
        <v>22797248</v>
      </c>
      <c r="P23" s="613">
        <v>4858815</v>
      </c>
      <c r="Q23" s="17">
        <v>5282269</v>
      </c>
      <c r="R23" s="17">
        <v>6093541</v>
      </c>
      <c r="S23" s="17">
        <v>4904060</v>
      </c>
      <c r="T23" s="628"/>
      <c r="U23" s="637">
        <f t="shared" si="11"/>
        <v>21138685</v>
      </c>
      <c r="V23" s="652">
        <f t="shared" si="12"/>
        <v>1658563</v>
      </c>
      <c r="Y23" s="590"/>
    </row>
    <row r="24" spans="2:25" ht="15">
      <c r="B24" s="599" t="s">
        <v>88</v>
      </c>
      <c r="C24" s="28">
        <v>2667737</v>
      </c>
      <c r="D24" s="17"/>
      <c r="E24" s="17">
        <v>128766</v>
      </c>
      <c r="F24" s="17"/>
      <c r="G24" s="17"/>
      <c r="H24" s="17"/>
      <c r="I24" s="17"/>
      <c r="J24" s="17"/>
      <c r="K24" s="17"/>
      <c r="L24" s="17"/>
      <c r="M24" s="17"/>
      <c r="N24" s="18">
        <f t="shared" si="9"/>
        <v>2796503</v>
      </c>
      <c r="P24" s="614">
        <v>656164</v>
      </c>
      <c r="Q24" s="28">
        <v>703032</v>
      </c>
      <c r="R24" s="28">
        <v>691315</v>
      </c>
      <c r="S24" s="28">
        <v>484311</v>
      </c>
      <c r="T24" s="39"/>
      <c r="U24" s="638">
        <f t="shared" si="11"/>
        <v>2534822</v>
      </c>
      <c r="V24" s="653">
        <f t="shared" si="12"/>
        <v>261681</v>
      </c>
      <c r="Y24" s="590"/>
    </row>
    <row r="25" spans="2:25" ht="15">
      <c r="B25" s="598" t="s">
        <v>65</v>
      </c>
      <c r="C25" s="17">
        <v>42255122</v>
      </c>
      <c r="D25" s="17"/>
      <c r="E25" s="17">
        <v>258917</v>
      </c>
      <c r="F25" s="17"/>
      <c r="G25" s="17"/>
      <c r="H25" s="17"/>
      <c r="I25" s="17"/>
      <c r="J25" s="17"/>
      <c r="K25" s="17"/>
      <c r="L25" s="17"/>
      <c r="M25" s="17"/>
      <c r="N25" s="18">
        <f t="shared" si="9"/>
        <v>42514039</v>
      </c>
      <c r="P25" s="613">
        <v>9772316</v>
      </c>
      <c r="Q25" s="17">
        <v>9895266</v>
      </c>
      <c r="R25" s="17">
        <v>10532191</v>
      </c>
      <c r="S25" s="17">
        <v>9848479</v>
      </c>
      <c r="T25" s="628"/>
      <c r="U25" s="637">
        <f t="shared" si="11"/>
        <v>40048252</v>
      </c>
      <c r="V25" s="650">
        <f t="shared" si="12"/>
        <v>2465787</v>
      </c>
      <c r="Y25" s="590"/>
    </row>
    <row r="26" spans="2:25" ht="15">
      <c r="B26" s="598" t="s">
        <v>44</v>
      </c>
      <c r="C26" s="17">
        <v>118721000</v>
      </c>
      <c r="D26" s="17"/>
      <c r="E26" s="17">
        <v>954561</v>
      </c>
      <c r="F26" s="17"/>
      <c r="G26" s="17">
        <v>1500000</v>
      </c>
      <c r="H26" s="17"/>
      <c r="I26" s="17"/>
      <c r="J26" s="17"/>
      <c r="K26" s="17"/>
      <c r="L26" s="17"/>
      <c r="M26" s="17"/>
      <c r="N26" s="18">
        <f t="shared" si="9"/>
        <v>121175561</v>
      </c>
      <c r="P26" s="613">
        <v>24659121</v>
      </c>
      <c r="Q26" s="17">
        <v>24633000</v>
      </c>
      <c r="R26" s="17">
        <v>27133000</v>
      </c>
      <c r="S26" s="17">
        <v>31870500</v>
      </c>
      <c r="T26" s="628"/>
      <c r="U26" s="637">
        <f t="shared" si="11"/>
        <v>108295621</v>
      </c>
      <c r="V26" s="650">
        <f t="shared" si="12"/>
        <v>12879940</v>
      </c>
      <c r="Y26" s="590"/>
    </row>
    <row r="27" spans="2:25" ht="15">
      <c r="B27" s="598" t="s">
        <v>66</v>
      </c>
      <c r="C27" s="17">
        <v>3000000</v>
      </c>
      <c r="D27" s="17"/>
      <c r="E27" s="17">
        <v>0</v>
      </c>
      <c r="F27" s="17"/>
      <c r="G27" s="17"/>
      <c r="H27" s="17"/>
      <c r="I27" s="17">
        <v>-103000</v>
      </c>
      <c r="J27" s="17"/>
      <c r="K27" s="17"/>
      <c r="L27" s="17"/>
      <c r="M27" s="17"/>
      <c r="N27" s="18">
        <f t="shared" si="9"/>
        <v>2897000</v>
      </c>
      <c r="P27" s="613">
        <v>2897000</v>
      </c>
      <c r="Q27" s="17">
        <v>0</v>
      </c>
      <c r="R27" s="17">
        <v>0</v>
      </c>
      <c r="S27" s="17"/>
      <c r="T27" s="628"/>
      <c r="U27" s="637">
        <f t="shared" si="11"/>
        <v>2897000</v>
      </c>
      <c r="V27" s="650">
        <f t="shared" si="12"/>
        <v>0</v>
      </c>
      <c r="Y27" s="590"/>
    </row>
    <row r="28" spans="2:25" ht="15">
      <c r="B28" s="598" t="s">
        <v>67</v>
      </c>
      <c r="C28" s="17">
        <v>42255122</v>
      </c>
      <c r="D28" s="17"/>
      <c r="E28" s="17">
        <v>258917</v>
      </c>
      <c r="F28" s="17"/>
      <c r="G28" s="17"/>
      <c r="H28" s="17"/>
      <c r="I28" s="17"/>
      <c r="J28" s="17">
        <v>186871</v>
      </c>
      <c r="K28" s="17">
        <v>1270428</v>
      </c>
      <c r="L28" s="17"/>
      <c r="M28" s="17"/>
      <c r="N28" s="18">
        <f t="shared" si="9"/>
        <v>43971338</v>
      </c>
      <c r="P28" s="613">
        <v>9772316</v>
      </c>
      <c r="Q28" s="17">
        <v>9895266</v>
      </c>
      <c r="R28" s="17">
        <v>10998064</v>
      </c>
      <c r="S28" s="17">
        <v>11560983</v>
      </c>
      <c r="T28" s="628"/>
      <c r="U28" s="637">
        <f t="shared" si="11"/>
        <v>42226629</v>
      </c>
      <c r="V28" s="650">
        <f t="shared" si="12"/>
        <v>1744709</v>
      </c>
      <c r="Y28" s="590"/>
    </row>
    <row r="29" spans="2:25" ht="15">
      <c r="B29" s="598" t="s">
        <v>68</v>
      </c>
      <c r="C29" s="17">
        <v>5071000</v>
      </c>
      <c r="D29" s="17"/>
      <c r="E29" s="17">
        <v>37000</v>
      </c>
      <c r="F29" s="17"/>
      <c r="G29" s="17"/>
      <c r="H29" s="17"/>
      <c r="I29" s="17"/>
      <c r="J29" s="17">
        <v>71720</v>
      </c>
      <c r="K29" s="17"/>
      <c r="L29" s="17"/>
      <c r="M29" s="17"/>
      <c r="N29" s="18">
        <f t="shared" si="9"/>
        <v>5179720</v>
      </c>
      <c r="P29" s="613">
        <v>265938</v>
      </c>
      <c r="Q29" s="17">
        <v>790010</v>
      </c>
      <c r="R29" s="17">
        <v>1342565</v>
      </c>
      <c r="S29" s="17">
        <v>1862187</v>
      </c>
      <c r="T29" s="628"/>
      <c r="U29" s="637">
        <f t="shared" si="11"/>
        <v>4260700</v>
      </c>
      <c r="V29" s="650">
        <f t="shared" si="12"/>
        <v>919020</v>
      </c>
      <c r="Y29" s="590"/>
    </row>
    <row r="30" spans="2:25" ht="15">
      <c r="B30" s="598" t="s">
        <v>69</v>
      </c>
      <c r="C30" s="17">
        <v>119526000</v>
      </c>
      <c r="D30" s="17"/>
      <c r="E30" s="17">
        <v>722000</v>
      </c>
      <c r="F30" s="17"/>
      <c r="G30" s="17"/>
      <c r="H30" s="17"/>
      <c r="I30" s="17"/>
      <c r="J30" s="17"/>
      <c r="K30" s="17">
        <v>0</v>
      </c>
      <c r="L30" s="17"/>
      <c r="M30" s="17"/>
      <c r="N30" s="18">
        <f t="shared" si="9"/>
        <v>120248000</v>
      </c>
      <c r="P30" s="613">
        <v>27541803</v>
      </c>
      <c r="Q30" s="17">
        <v>27960380</v>
      </c>
      <c r="R30" s="17">
        <v>29720666</v>
      </c>
      <c r="S30" s="17">
        <v>27268811</v>
      </c>
      <c r="T30" s="628"/>
      <c r="U30" s="637">
        <f t="shared" si="11"/>
        <v>112491660</v>
      </c>
      <c r="V30" s="650">
        <f t="shared" si="12"/>
        <v>7756340</v>
      </c>
      <c r="Y30" s="590"/>
    </row>
    <row r="31" spans="2:25" ht="15">
      <c r="B31" s="598" t="s">
        <v>70</v>
      </c>
      <c r="C31" s="17">
        <v>21019000</v>
      </c>
      <c r="D31" s="17"/>
      <c r="E31" s="17">
        <v>123000</v>
      </c>
      <c r="F31" s="17"/>
      <c r="G31" s="17"/>
      <c r="H31" s="17"/>
      <c r="I31" s="17"/>
      <c r="J31" s="17"/>
      <c r="K31" s="17"/>
      <c r="L31" s="17"/>
      <c r="M31" s="17"/>
      <c r="N31" s="18">
        <f t="shared" si="9"/>
        <v>21142000</v>
      </c>
      <c r="P31" s="613">
        <v>4667000</v>
      </c>
      <c r="Q31" s="17">
        <v>4802800</v>
      </c>
      <c r="R31" s="17">
        <v>5110200</v>
      </c>
      <c r="S31" s="17">
        <v>5207600</v>
      </c>
      <c r="T31" s="628"/>
      <c r="U31" s="637">
        <f t="shared" si="11"/>
        <v>19787600</v>
      </c>
      <c r="V31" s="652">
        <f t="shared" si="12"/>
        <v>1354400</v>
      </c>
      <c r="Y31" s="590"/>
    </row>
    <row r="32" spans="2:25" ht="15">
      <c r="B32" s="598" t="s">
        <v>71</v>
      </c>
      <c r="C32" s="17">
        <v>26265000</v>
      </c>
      <c r="D32" s="17"/>
      <c r="E32" s="17">
        <v>158000</v>
      </c>
      <c r="F32" s="17"/>
      <c r="G32" s="17"/>
      <c r="H32" s="17"/>
      <c r="I32" s="17"/>
      <c r="J32" s="17"/>
      <c r="K32" s="17"/>
      <c r="L32" s="17"/>
      <c r="M32" s="17"/>
      <c r="N32" s="18">
        <f t="shared" si="9"/>
        <v>26423000</v>
      </c>
      <c r="P32" s="613">
        <v>5837100</v>
      </c>
      <c r="Q32" s="17">
        <v>6007100</v>
      </c>
      <c r="R32" s="17">
        <v>6390900</v>
      </c>
      <c r="S32" s="17">
        <v>6512700</v>
      </c>
      <c r="T32" s="628"/>
      <c r="U32" s="637">
        <f t="shared" si="11"/>
        <v>24747800</v>
      </c>
      <c r="V32" s="652">
        <f t="shared" si="12"/>
        <v>1675200</v>
      </c>
      <c r="Y32" s="590"/>
    </row>
    <row r="33" spans="2:25" ht="15">
      <c r="B33" s="597" t="s">
        <v>45</v>
      </c>
      <c r="C33" s="29">
        <f>SUM(C34:C48)</f>
        <v>601319732</v>
      </c>
      <c r="D33" s="29">
        <f aca="true" t="shared" si="13" ref="D33:J33">SUM(D34:D48)</f>
        <v>0</v>
      </c>
      <c r="E33" s="29">
        <f t="shared" si="13"/>
        <v>1732429</v>
      </c>
      <c r="F33" s="29"/>
      <c r="G33" s="29">
        <f t="shared" si="13"/>
        <v>12000000</v>
      </c>
      <c r="H33" s="29">
        <f t="shared" si="13"/>
        <v>0</v>
      </c>
      <c r="I33" s="29">
        <f t="shared" si="13"/>
        <v>-26197521</v>
      </c>
      <c r="J33" s="29">
        <f t="shared" si="13"/>
        <v>0</v>
      </c>
      <c r="K33" s="29">
        <f>SUM(K34:K48)</f>
        <v>0</v>
      </c>
      <c r="L33" s="29">
        <f>SUM(L34:L48)</f>
        <v>4500000</v>
      </c>
      <c r="M33" s="29">
        <f>SUM(M34:M48)</f>
        <v>0</v>
      </c>
      <c r="N33" s="22">
        <f t="shared" si="9"/>
        <v>593354640</v>
      </c>
      <c r="P33" s="615">
        <f aca="true" t="shared" si="14" ref="P33:V33">SUM(P34:P48)</f>
        <v>196833451.87389675</v>
      </c>
      <c r="Q33" s="29">
        <f t="shared" si="14"/>
        <v>91999166</v>
      </c>
      <c r="R33" s="29">
        <f t="shared" si="14"/>
        <v>100395793.25806451</v>
      </c>
      <c r="S33" s="29">
        <f t="shared" si="14"/>
        <v>103840331</v>
      </c>
      <c r="T33" s="38">
        <f>SUM(T34:T48)</f>
        <v>145058.4665333256</v>
      </c>
      <c r="U33" s="639">
        <f t="shared" si="14"/>
        <v>493213800.5984946</v>
      </c>
      <c r="V33" s="654">
        <f t="shared" si="14"/>
        <v>100140839.40150541</v>
      </c>
      <c r="Y33" s="590"/>
    </row>
    <row r="34" spans="2:25" ht="15">
      <c r="B34" s="598" t="s">
        <v>244</v>
      </c>
      <c r="C34" s="127">
        <v>129415229</v>
      </c>
      <c r="D34" s="126"/>
      <c r="E34" s="126">
        <v>0</v>
      </c>
      <c r="F34" s="126"/>
      <c r="G34" s="126">
        <v>12000000</v>
      </c>
      <c r="H34" s="126"/>
      <c r="I34" s="126"/>
      <c r="J34" s="126"/>
      <c r="K34" s="126"/>
      <c r="L34" s="126"/>
      <c r="M34" s="126"/>
      <c r="N34" s="49">
        <f t="shared" si="9"/>
        <v>141415229</v>
      </c>
      <c r="P34" s="616">
        <v>96492205.64709675</v>
      </c>
      <c r="Q34" s="127">
        <v>6425864</v>
      </c>
      <c r="R34" s="127">
        <v>19146195.258064516</v>
      </c>
      <c r="S34" s="127">
        <v>4439998</v>
      </c>
      <c r="T34" s="128"/>
      <c r="U34" s="640">
        <f aca="true" t="shared" si="15" ref="U34:U48">SUM(P34:T34)</f>
        <v>126504262.90516126</v>
      </c>
      <c r="V34" s="653">
        <f aca="true" t="shared" si="16" ref="V34:V50">+N34-U34</f>
        <v>14910966.094838738</v>
      </c>
      <c r="Y34" s="590"/>
    </row>
    <row r="35" spans="2:25" ht="15">
      <c r="B35" s="598" t="s">
        <v>72</v>
      </c>
      <c r="C35" s="127">
        <v>0</v>
      </c>
      <c r="D35" s="126"/>
      <c r="E35" s="126">
        <v>0</v>
      </c>
      <c r="F35" s="126"/>
      <c r="G35" s="126"/>
      <c r="H35" s="126"/>
      <c r="I35" s="126"/>
      <c r="J35" s="126"/>
      <c r="K35" s="126"/>
      <c r="L35" s="126"/>
      <c r="M35" s="126"/>
      <c r="N35" s="49">
        <f t="shared" si="9"/>
        <v>0</v>
      </c>
      <c r="P35" s="616"/>
      <c r="Q35" s="127">
        <v>0</v>
      </c>
      <c r="R35" s="127"/>
      <c r="S35" s="127"/>
      <c r="T35" s="128"/>
      <c r="U35" s="640">
        <f t="shared" si="15"/>
        <v>0</v>
      </c>
      <c r="V35" s="653">
        <f t="shared" si="16"/>
        <v>0</v>
      </c>
      <c r="Y35" s="590"/>
    </row>
    <row r="36" spans="2:25" ht="15">
      <c r="B36" s="598" t="s">
        <v>73</v>
      </c>
      <c r="C36" s="127">
        <v>16881306</v>
      </c>
      <c r="D36" s="126"/>
      <c r="E36" s="126">
        <v>92806</v>
      </c>
      <c r="F36" s="126"/>
      <c r="G36" s="126"/>
      <c r="H36" s="126"/>
      <c r="I36" s="126"/>
      <c r="J36" s="126"/>
      <c r="K36" s="126"/>
      <c r="L36" s="126"/>
      <c r="M36" s="126"/>
      <c r="N36" s="49">
        <f t="shared" si="9"/>
        <v>16974112</v>
      </c>
      <c r="P36" s="616">
        <v>4076936.2268</v>
      </c>
      <c r="Q36" s="127">
        <v>3998855</v>
      </c>
      <c r="R36" s="127">
        <v>3998861</v>
      </c>
      <c r="S36" s="127">
        <v>3998861</v>
      </c>
      <c r="T36" s="128">
        <f>-5-0.226800002157688</f>
        <v>-5.226800002157688</v>
      </c>
      <c r="U36" s="640">
        <f t="shared" si="15"/>
        <v>16073507.999999998</v>
      </c>
      <c r="V36" s="653">
        <f t="shared" si="16"/>
        <v>900604.0000000019</v>
      </c>
      <c r="Y36" s="590"/>
    </row>
    <row r="37" spans="2:25" ht="15">
      <c r="B37" s="598" t="s">
        <v>29</v>
      </c>
      <c r="C37" s="127">
        <v>7491629</v>
      </c>
      <c r="D37" s="126"/>
      <c r="E37" s="126">
        <v>0</v>
      </c>
      <c r="F37" s="126"/>
      <c r="G37" s="126"/>
      <c r="H37" s="126"/>
      <c r="I37" s="126"/>
      <c r="J37" s="126"/>
      <c r="K37" s="126"/>
      <c r="L37" s="126"/>
      <c r="M37" s="126"/>
      <c r="N37" s="49">
        <f t="shared" si="9"/>
        <v>7491629</v>
      </c>
      <c r="P37" s="616">
        <v>1872910</v>
      </c>
      <c r="Q37" s="127">
        <v>1795730</v>
      </c>
      <c r="R37" s="127">
        <v>1872907</v>
      </c>
      <c r="S37" s="127">
        <v>1865740</v>
      </c>
      <c r="T37" s="128"/>
      <c r="U37" s="640">
        <f t="shared" si="15"/>
        <v>7407287</v>
      </c>
      <c r="V37" s="653">
        <f t="shared" si="16"/>
        <v>84342</v>
      </c>
      <c r="Y37" s="590"/>
    </row>
    <row r="38" spans="2:25" ht="15">
      <c r="B38" s="598" t="s">
        <v>30</v>
      </c>
      <c r="C38" s="127">
        <v>231969689</v>
      </c>
      <c r="D38" s="126"/>
      <c r="E38" s="126">
        <v>1323120</v>
      </c>
      <c r="F38" s="126"/>
      <c r="G38" s="126"/>
      <c r="H38" s="126"/>
      <c r="I38" s="126"/>
      <c r="J38" s="126"/>
      <c r="K38" s="126"/>
      <c r="L38" s="126"/>
      <c r="M38" s="126"/>
      <c r="N38" s="49">
        <f t="shared" si="9"/>
        <v>233292809</v>
      </c>
      <c r="P38" s="616">
        <v>32394689</v>
      </c>
      <c r="Q38" s="127">
        <v>51118554</v>
      </c>
      <c r="R38" s="127">
        <v>48869538</v>
      </c>
      <c r="S38" s="127">
        <v>34184600</v>
      </c>
      <c r="T38" s="128">
        <f>1109+0.693333327770233</f>
        <v>1109.6933333277702</v>
      </c>
      <c r="U38" s="640">
        <f t="shared" si="15"/>
        <v>166568490.69333333</v>
      </c>
      <c r="V38" s="653">
        <f t="shared" si="16"/>
        <v>66724318.30666667</v>
      </c>
      <c r="W38" s="288" t="s">
        <v>439</v>
      </c>
      <c r="Y38" s="590"/>
    </row>
    <row r="39" spans="2:25" ht="15">
      <c r="B39" s="598" t="s">
        <v>31</v>
      </c>
      <c r="C39" s="127">
        <v>26557059</v>
      </c>
      <c r="D39" s="126"/>
      <c r="E39" s="126">
        <v>42976</v>
      </c>
      <c r="F39" s="126"/>
      <c r="G39" s="126"/>
      <c r="H39" s="126"/>
      <c r="I39" s="126"/>
      <c r="J39" s="126"/>
      <c r="K39" s="126"/>
      <c r="L39" s="126"/>
      <c r="M39" s="126"/>
      <c r="N39" s="49">
        <f t="shared" si="9"/>
        <v>26600035</v>
      </c>
      <c r="P39" s="616">
        <v>25181391</v>
      </c>
      <c r="Q39" s="127">
        <v>0</v>
      </c>
      <c r="R39" s="127">
        <v>0</v>
      </c>
      <c r="S39" s="127">
        <v>1102689</v>
      </c>
      <c r="T39" s="128"/>
      <c r="U39" s="640">
        <f t="shared" si="15"/>
        <v>26284080</v>
      </c>
      <c r="V39" s="653">
        <f t="shared" si="16"/>
        <v>315955</v>
      </c>
      <c r="Y39" s="590"/>
    </row>
    <row r="40" spans="2:25" ht="15">
      <c r="B40" s="598" t="s">
        <v>74</v>
      </c>
      <c r="C40" s="127">
        <v>0</v>
      </c>
      <c r="D40" s="126"/>
      <c r="E40" s="126">
        <v>0</v>
      </c>
      <c r="F40" s="126"/>
      <c r="G40" s="126"/>
      <c r="H40" s="126"/>
      <c r="I40" s="126"/>
      <c r="J40" s="126"/>
      <c r="K40" s="126"/>
      <c r="L40" s="126"/>
      <c r="M40" s="126"/>
      <c r="N40" s="49">
        <f t="shared" si="9"/>
        <v>0</v>
      </c>
      <c r="P40" s="616">
        <v>0</v>
      </c>
      <c r="Q40" s="127">
        <v>0</v>
      </c>
      <c r="R40" s="127"/>
      <c r="S40" s="127">
        <v>0</v>
      </c>
      <c r="T40" s="128"/>
      <c r="U40" s="640">
        <f t="shared" si="15"/>
        <v>0</v>
      </c>
      <c r="V40" s="653">
        <f t="shared" si="16"/>
        <v>0</v>
      </c>
      <c r="Y40" s="590"/>
    </row>
    <row r="41" spans="2:25" ht="15">
      <c r="B41" s="598" t="s">
        <v>32</v>
      </c>
      <c r="C41" s="127">
        <v>56970204</v>
      </c>
      <c r="D41" s="126"/>
      <c r="E41" s="126">
        <v>57873</v>
      </c>
      <c r="F41" s="126"/>
      <c r="G41" s="126"/>
      <c r="H41" s="126"/>
      <c r="I41" s="126">
        <v>-20000000</v>
      </c>
      <c r="J41" s="126"/>
      <c r="K41" s="126"/>
      <c r="L41" s="126"/>
      <c r="M41" s="126"/>
      <c r="N41" s="49">
        <f t="shared" si="9"/>
        <v>37028077</v>
      </c>
      <c r="P41" s="616">
        <v>16828409</v>
      </c>
      <c r="Q41" s="127">
        <v>2991096</v>
      </c>
      <c r="R41" s="127">
        <v>3673410</v>
      </c>
      <c r="S41" s="127">
        <v>4757672</v>
      </c>
      <c r="T41" s="128"/>
      <c r="U41" s="640">
        <f t="shared" si="15"/>
        <v>28250587</v>
      </c>
      <c r="V41" s="653">
        <f t="shared" si="16"/>
        <v>8777490</v>
      </c>
      <c r="Y41" s="590"/>
    </row>
    <row r="42" spans="2:25" ht="15">
      <c r="B42" s="598" t="s">
        <v>183</v>
      </c>
      <c r="C42" s="28">
        <v>4654489</v>
      </c>
      <c r="D42" s="17"/>
      <c r="E42" s="17">
        <v>27306</v>
      </c>
      <c r="F42" s="17"/>
      <c r="G42" s="17"/>
      <c r="H42" s="17"/>
      <c r="I42" s="17">
        <v>0</v>
      </c>
      <c r="J42" s="17"/>
      <c r="K42" s="17"/>
      <c r="L42" s="17"/>
      <c r="M42" s="17"/>
      <c r="N42" s="18">
        <f t="shared" si="9"/>
        <v>4681795</v>
      </c>
      <c r="P42" s="614">
        <v>1190861</v>
      </c>
      <c r="Q42" s="28">
        <v>890861</v>
      </c>
      <c r="R42" s="28">
        <v>1060091</v>
      </c>
      <c r="S42" s="28">
        <v>700364</v>
      </c>
      <c r="T42" s="39"/>
      <c r="U42" s="638">
        <f t="shared" si="15"/>
        <v>3842177</v>
      </c>
      <c r="V42" s="653">
        <f t="shared" si="16"/>
        <v>839618</v>
      </c>
      <c r="Y42" s="590"/>
    </row>
    <row r="43" spans="2:25" ht="15">
      <c r="B43" s="598" t="s">
        <v>75</v>
      </c>
      <c r="C43" s="28">
        <v>3772775</v>
      </c>
      <c r="D43" s="17"/>
      <c r="E43" s="17">
        <v>111301</v>
      </c>
      <c r="F43" s="17"/>
      <c r="G43" s="17"/>
      <c r="H43" s="17"/>
      <c r="I43" s="17">
        <v>0</v>
      </c>
      <c r="J43" s="17"/>
      <c r="K43" s="17"/>
      <c r="L43" s="17"/>
      <c r="M43" s="17">
        <v>-1100000</v>
      </c>
      <c r="N43" s="18">
        <f t="shared" si="9"/>
        <v>2784076</v>
      </c>
      <c r="P43" s="614">
        <v>573320</v>
      </c>
      <c r="Q43" s="28">
        <v>354800</v>
      </c>
      <c r="R43" s="28">
        <v>130400</v>
      </c>
      <c r="S43" s="28">
        <v>230000</v>
      </c>
      <c r="T43" s="39"/>
      <c r="U43" s="638">
        <f t="shared" si="15"/>
        <v>1288520</v>
      </c>
      <c r="V43" s="655">
        <f t="shared" si="16"/>
        <v>1495556</v>
      </c>
      <c r="Y43" s="590"/>
    </row>
    <row r="44" spans="2:25" ht="15">
      <c r="B44" s="598" t="s">
        <v>76</v>
      </c>
      <c r="C44" s="28">
        <v>35000000</v>
      </c>
      <c r="D44" s="17"/>
      <c r="E44" s="17">
        <v>0</v>
      </c>
      <c r="F44" s="17"/>
      <c r="G44" s="17"/>
      <c r="H44" s="17"/>
      <c r="I44" s="17">
        <v>0</v>
      </c>
      <c r="J44" s="17"/>
      <c r="K44" s="17"/>
      <c r="L44" s="17">
        <v>4500000</v>
      </c>
      <c r="M44" s="17">
        <v>1100000</v>
      </c>
      <c r="N44" s="18">
        <f t="shared" si="9"/>
        <v>40600000</v>
      </c>
      <c r="P44" s="614">
        <v>6912511</v>
      </c>
      <c r="Q44" s="28">
        <v>8502519</v>
      </c>
      <c r="R44" s="28">
        <v>8741414</v>
      </c>
      <c r="S44" s="28">
        <v>16425863</v>
      </c>
      <c r="T44" s="39"/>
      <c r="U44" s="638">
        <f t="shared" si="15"/>
        <v>40582307</v>
      </c>
      <c r="V44" s="653">
        <f t="shared" si="16"/>
        <v>17693</v>
      </c>
      <c r="Y44" s="590"/>
    </row>
    <row r="45" spans="2:25" ht="15">
      <c r="B45" s="598" t="s">
        <v>77</v>
      </c>
      <c r="C45" s="28">
        <v>37061162</v>
      </c>
      <c r="D45" s="17"/>
      <c r="E45" s="17">
        <v>0</v>
      </c>
      <c r="F45" s="17"/>
      <c r="G45" s="17"/>
      <c r="H45" s="17"/>
      <c r="I45" s="17">
        <v>0</v>
      </c>
      <c r="J45" s="17"/>
      <c r="K45" s="17"/>
      <c r="L45" s="17"/>
      <c r="M45" s="17"/>
      <c r="N45" s="18">
        <f t="shared" si="9"/>
        <v>37061162</v>
      </c>
      <c r="P45" s="614">
        <v>9265290</v>
      </c>
      <c r="Q45" s="28">
        <v>9265289</v>
      </c>
      <c r="R45" s="28">
        <v>9265289</v>
      </c>
      <c r="S45" s="28">
        <v>9265289</v>
      </c>
      <c r="T45" s="39"/>
      <c r="U45" s="638">
        <f t="shared" si="15"/>
        <v>37061157</v>
      </c>
      <c r="V45" s="655">
        <f t="shared" si="16"/>
        <v>5</v>
      </c>
      <c r="Y45" s="590"/>
    </row>
    <row r="46" spans="2:25" ht="15">
      <c r="B46" s="598" t="s">
        <v>184</v>
      </c>
      <c r="C46" s="28">
        <v>2059520</v>
      </c>
      <c r="D46" s="17"/>
      <c r="E46" s="17">
        <v>0</v>
      </c>
      <c r="F46" s="17"/>
      <c r="G46" s="17"/>
      <c r="H46" s="17"/>
      <c r="I46" s="17">
        <v>0</v>
      </c>
      <c r="J46" s="17"/>
      <c r="K46" s="17"/>
      <c r="L46" s="17"/>
      <c r="M46" s="17"/>
      <c r="N46" s="18">
        <f t="shared" si="9"/>
        <v>2059520</v>
      </c>
      <c r="P46" s="614">
        <v>464880</v>
      </c>
      <c r="Q46" s="28">
        <v>458500</v>
      </c>
      <c r="R46" s="28">
        <v>403500</v>
      </c>
      <c r="S46" s="28">
        <v>685400</v>
      </c>
      <c r="T46" s="39"/>
      <c r="U46" s="638">
        <f t="shared" si="15"/>
        <v>2012280</v>
      </c>
      <c r="V46" s="655">
        <f t="shared" si="16"/>
        <v>47240</v>
      </c>
      <c r="Y46" s="590"/>
    </row>
    <row r="47" spans="2:25" ht="15">
      <c r="B47" s="598" t="s">
        <v>46</v>
      </c>
      <c r="C47" s="28">
        <v>20000000</v>
      </c>
      <c r="D47" s="17"/>
      <c r="E47" s="17">
        <v>0</v>
      </c>
      <c r="F47" s="17"/>
      <c r="G47" s="17"/>
      <c r="H47" s="17"/>
      <c r="I47" s="17">
        <v>0</v>
      </c>
      <c r="J47" s="17"/>
      <c r="K47" s="17"/>
      <c r="L47" s="17"/>
      <c r="M47" s="17"/>
      <c r="N47" s="18">
        <f t="shared" si="9"/>
        <v>20000000</v>
      </c>
      <c r="P47" s="614">
        <v>0</v>
      </c>
      <c r="Q47" s="28">
        <v>0</v>
      </c>
      <c r="R47" s="28"/>
      <c r="S47" s="28">
        <v>18054885</v>
      </c>
      <c r="T47" s="39"/>
      <c r="U47" s="638">
        <f t="shared" si="15"/>
        <v>18054885</v>
      </c>
      <c r="V47" s="655">
        <f t="shared" si="16"/>
        <v>1945115</v>
      </c>
      <c r="Y47" s="590"/>
    </row>
    <row r="48" spans="2:25" ht="15.75" thickBot="1">
      <c r="B48" s="600" t="s">
        <v>78</v>
      </c>
      <c r="C48" s="589">
        <v>29486670</v>
      </c>
      <c r="D48" s="31"/>
      <c r="E48" s="31">
        <v>77047</v>
      </c>
      <c r="F48" s="31"/>
      <c r="G48" s="31"/>
      <c r="H48" s="31"/>
      <c r="I48" s="31">
        <v>-6197521</v>
      </c>
      <c r="J48" s="31"/>
      <c r="K48" s="31"/>
      <c r="L48" s="31"/>
      <c r="M48" s="31"/>
      <c r="N48" s="18">
        <f t="shared" si="9"/>
        <v>23366196</v>
      </c>
      <c r="P48" s="617">
        <v>1580049</v>
      </c>
      <c r="Q48" s="589">
        <v>6197098</v>
      </c>
      <c r="R48" s="589">
        <v>3234188</v>
      </c>
      <c r="S48" s="589">
        <v>8128970</v>
      </c>
      <c r="T48" s="629">
        <v>143954</v>
      </c>
      <c r="U48" s="641">
        <f t="shared" si="15"/>
        <v>19284259</v>
      </c>
      <c r="V48" s="656">
        <f t="shared" si="16"/>
        <v>4081937</v>
      </c>
      <c r="W48" s="288" t="s">
        <v>444</v>
      </c>
      <c r="Y48" s="590"/>
    </row>
    <row r="49" spans="2:25" ht="15.75" thickBot="1">
      <c r="B49" s="601" t="s">
        <v>207</v>
      </c>
      <c r="C49" s="33">
        <f>+C50</f>
        <v>689704147.9754436</v>
      </c>
      <c r="D49" s="33">
        <f aca="true" t="shared" si="17" ref="D49:M49">+D50</f>
        <v>0</v>
      </c>
      <c r="E49" s="33">
        <f t="shared" si="17"/>
        <v>0</v>
      </c>
      <c r="F49" s="33"/>
      <c r="G49" s="33">
        <f t="shared" si="17"/>
        <v>243885300</v>
      </c>
      <c r="H49" s="33">
        <f t="shared" si="17"/>
        <v>55000000</v>
      </c>
      <c r="I49" s="33">
        <f t="shared" si="17"/>
        <v>0</v>
      </c>
      <c r="J49" s="33">
        <f t="shared" si="17"/>
        <v>0</v>
      </c>
      <c r="K49" s="33">
        <f t="shared" si="17"/>
        <v>0</v>
      </c>
      <c r="L49" s="33">
        <f t="shared" si="17"/>
        <v>90237200</v>
      </c>
      <c r="M49" s="33">
        <f t="shared" si="17"/>
        <v>0</v>
      </c>
      <c r="N49" s="34">
        <f>+N50</f>
        <v>1078826647.9754436</v>
      </c>
      <c r="P49" s="618">
        <f aca="true" t="shared" si="18" ref="P49:V49">+P50</f>
        <v>290601662.2</v>
      </c>
      <c r="Q49" s="33">
        <f t="shared" si="18"/>
        <v>304691219.40000004</v>
      </c>
      <c r="R49" s="33">
        <f t="shared" si="18"/>
        <v>295565979.90000004</v>
      </c>
      <c r="S49" s="33">
        <f t="shared" si="18"/>
        <v>245748365.60000002</v>
      </c>
      <c r="T49" s="34">
        <f t="shared" si="18"/>
        <v>-284823.5</v>
      </c>
      <c r="U49" s="642">
        <f t="shared" si="18"/>
        <v>1136322403.6000001</v>
      </c>
      <c r="V49" s="657">
        <f t="shared" si="18"/>
        <v>-57495755.62455654</v>
      </c>
      <c r="Y49" s="590"/>
    </row>
    <row r="50" spans="2:25" ht="15">
      <c r="B50" s="602" t="s">
        <v>79</v>
      </c>
      <c r="C50" s="36">
        <f>(+C11+C12)*10%</f>
        <v>689704147.9754436</v>
      </c>
      <c r="D50" s="36">
        <f aca="true" t="shared" si="19" ref="D50:N50">(+D11+D12)*10%</f>
        <v>0</v>
      </c>
      <c r="E50" s="36">
        <f t="shared" si="19"/>
        <v>0</v>
      </c>
      <c r="F50" s="36"/>
      <c r="G50" s="36">
        <f t="shared" si="19"/>
        <v>243885300</v>
      </c>
      <c r="H50" s="36">
        <f t="shared" si="19"/>
        <v>55000000</v>
      </c>
      <c r="I50" s="36">
        <f t="shared" si="19"/>
        <v>0</v>
      </c>
      <c r="J50" s="36">
        <f t="shared" si="19"/>
        <v>0</v>
      </c>
      <c r="K50" s="36">
        <f t="shared" si="19"/>
        <v>0</v>
      </c>
      <c r="L50" s="36">
        <f t="shared" si="19"/>
        <v>90237200</v>
      </c>
      <c r="M50" s="36">
        <f t="shared" si="19"/>
        <v>0</v>
      </c>
      <c r="N50" s="37">
        <f t="shared" si="19"/>
        <v>1078826647.9754436</v>
      </c>
      <c r="P50" s="619">
        <f aca="true" t="shared" si="20" ref="P50:U50">(+P11+P12)*10%</f>
        <v>290601662.2</v>
      </c>
      <c r="Q50" s="36">
        <f t="shared" si="20"/>
        <v>304691219.40000004</v>
      </c>
      <c r="R50" s="36">
        <f t="shared" si="20"/>
        <v>295565979.90000004</v>
      </c>
      <c r="S50" s="36">
        <f t="shared" si="20"/>
        <v>245748365.60000002</v>
      </c>
      <c r="T50" s="630">
        <f>(+T11+T12)*10%</f>
        <v>-284823.5</v>
      </c>
      <c r="U50" s="643">
        <f t="shared" si="20"/>
        <v>1136322403.6000001</v>
      </c>
      <c r="V50" s="658">
        <f t="shared" si="16"/>
        <v>-57495755.62455654</v>
      </c>
      <c r="W50" s="603"/>
      <c r="Y50" s="590"/>
    </row>
    <row r="51" spans="2:25" ht="15">
      <c r="B51" s="596" t="s">
        <v>208</v>
      </c>
      <c r="C51" s="21">
        <f>+C52+C64+C82</f>
        <v>6379811181</v>
      </c>
      <c r="D51" s="21">
        <f aca="true" t="shared" si="21" ref="D51:N51">+D52+D64+D82</f>
        <v>0</v>
      </c>
      <c r="E51" s="21">
        <f t="shared" si="21"/>
        <v>16610661</v>
      </c>
      <c r="F51" s="21"/>
      <c r="G51" s="21">
        <f t="shared" si="21"/>
        <v>10000000</v>
      </c>
      <c r="H51" s="21">
        <f t="shared" si="21"/>
        <v>0</v>
      </c>
      <c r="I51" s="21">
        <f t="shared" si="21"/>
        <v>-68699960</v>
      </c>
      <c r="J51" s="21">
        <f t="shared" si="21"/>
        <v>0</v>
      </c>
      <c r="K51" s="21">
        <f t="shared" si="21"/>
        <v>0</v>
      </c>
      <c r="L51" s="21">
        <f t="shared" si="21"/>
        <v>0</v>
      </c>
      <c r="M51" s="21">
        <f t="shared" si="21"/>
        <v>0</v>
      </c>
      <c r="N51" s="22">
        <f t="shared" si="21"/>
        <v>6337721882</v>
      </c>
      <c r="P51" s="612">
        <f aca="true" t="shared" si="22" ref="P51:V51">+P52+P64+P82</f>
        <v>859091746.8495699</v>
      </c>
      <c r="Q51" s="21">
        <f t="shared" si="22"/>
        <v>1355159264</v>
      </c>
      <c r="R51" s="21">
        <f t="shared" si="22"/>
        <v>1568270144.516129</v>
      </c>
      <c r="S51" s="21">
        <f t="shared" si="22"/>
        <v>2162177384</v>
      </c>
      <c r="T51" s="22">
        <f>+T52+T64+T82</f>
        <v>83238.37999999523</v>
      </c>
      <c r="U51" s="636">
        <f t="shared" si="22"/>
        <v>5944781777.745699</v>
      </c>
      <c r="V51" s="651">
        <f t="shared" si="22"/>
        <v>392940104.2543011</v>
      </c>
      <c r="Y51" s="590"/>
    </row>
    <row r="52" spans="2:25" ht="15">
      <c r="B52" s="597" t="s">
        <v>43</v>
      </c>
      <c r="C52" s="29">
        <f>SUM(C53:C63)</f>
        <v>2276535090</v>
      </c>
      <c r="D52" s="29">
        <f aca="true" t="shared" si="23" ref="D52:N52">SUM(D53:D63)</f>
        <v>0</v>
      </c>
      <c r="E52" s="29">
        <f t="shared" si="23"/>
        <v>12643437</v>
      </c>
      <c r="F52" s="29"/>
      <c r="G52" s="29">
        <f t="shared" si="23"/>
        <v>0</v>
      </c>
      <c r="H52" s="29">
        <f t="shared" si="23"/>
        <v>0</v>
      </c>
      <c r="I52" s="29">
        <f t="shared" si="23"/>
        <v>0</v>
      </c>
      <c r="J52" s="29">
        <f t="shared" si="23"/>
        <v>0</v>
      </c>
      <c r="K52" s="29">
        <f t="shared" si="23"/>
        <v>0</v>
      </c>
      <c r="L52" s="29">
        <f t="shared" si="23"/>
        <v>0</v>
      </c>
      <c r="M52" s="29">
        <f t="shared" si="23"/>
        <v>0</v>
      </c>
      <c r="N52" s="38">
        <f t="shared" si="23"/>
        <v>2289178527</v>
      </c>
      <c r="P52" s="615">
        <f aca="true" t="shared" si="24" ref="P52:V52">SUM(P53:P63)</f>
        <v>397701763</v>
      </c>
      <c r="Q52" s="29">
        <f t="shared" si="24"/>
        <v>597213380</v>
      </c>
      <c r="R52" s="29">
        <f t="shared" si="24"/>
        <v>524421061</v>
      </c>
      <c r="S52" s="29">
        <f t="shared" si="24"/>
        <v>596543885</v>
      </c>
      <c r="T52" s="38">
        <f t="shared" si="24"/>
        <v>0</v>
      </c>
      <c r="U52" s="639">
        <f t="shared" si="24"/>
        <v>2115880089</v>
      </c>
      <c r="V52" s="654">
        <f t="shared" si="24"/>
        <v>173298438</v>
      </c>
      <c r="Y52" s="590"/>
    </row>
    <row r="53" spans="2:25" ht="15">
      <c r="B53" s="599" t="s">
        <v>63</v>
      </c>
      <c r="C53" s="28">
        <v>1302189340</v>
      </c>
      <c r="D53" s="17"/>
      <c r="E53" s="17">
        <v>8174082</v>
      </c>
      <c r="F53" s="17"/>
      <c r="G53" s="17"/>
      <c r="H53" s="17"/>
      <c r="I53" s="17"/>
      <c r="J53" s="17">
        <v>-88618</v>
      </c>
      <c r="K53" s="17">
        <v>-379612</v>
      </c>
      <c r="L53" s="17"/>
      <c r="M53" s="17"/>
      <c r="N53" s="39">
        <f aca="true" t="shared" si="25" ref="N53:N63">SUM(C53:M53)</f>
        <v>1309895192</v>
      </c>
      <c r="P53" s="614">
        <v>254508547</v>
      </c>
      <c r="Q53" s="28">
        <v>332074130</v>
      </c>
      <c r="R53" s="28">
        <v>326609234</v>
      </c>
      <c r="S53" s="28">
        <v>305992736</v>
      </c>
      <c r="T53" s="39"/>
      <c r="U53" s="638">
        <f aca="true" t="shared" si="26" ref="U53:U63">SUM(P53:T53)</f>
        <v>1219184647</v>
      </c>
      <c r="V53" s="655">
        <f aca="true" t="shared" si="27" ref="V53:V63">+N53-U53</f>
        <v>90710545</v>
      </c>
      <c r="Y53" s="590"/>
    </row>
    <row r="54" spans="2:25" ht="15">
      <c r="B54" s="599" t="s">
        <v>64</v>
      </c>
      <c r="C54" s="28">
        <v>53780909</v>
      </c>
      <c r="D54" s="17"/>
      <c r="E54" s="17">
        <v>317552</v>
      </c>
      <c r="F54" s="17"/>
      <c r="G54" s="17"/>
      <c r="H54" s="17"/>
      <c r="I54" s="17"/>
      <c r="J54" s="17"/>
      <c r="K54" s="17">
        <v>379612</v>
      </c>
      <c r="L54" s="17"/>
      <c r="M54" s="17"/>
      <c r="N54" s="39">
        <f t="shared" si="25"/>
        <v>54478073</v>
      </c>
      <c r="P54" s="614">
        <v>10605174</v>
      </c>
      <c r="Q54" s="28">
        <v>13748167</v>
      </c>
      <c r="R54" s="28">
        <v>13609396</v>
      </c>
      <c r="S54" s="28">
        <v>12855829</v>
      </c>
      <c r="T54" s="39"/>
      <c r="U54" s="638">
        <f t="shared" si="26"/>
        <v>50818566</v>
      </c>
      <c r="V54" s="653">
        <f t="shared" si="27"/>
        <v>3659507</v>
      </c>
      <c r="Y54" s="590"/>
    </row>
    <row r="55" spans="2:25" ht="15">
      <c r="B55" s="599" t="s">
        <v>88</v>
      </c>
      <c r="C55" s="28">
        <v>1333869</v>
      </c>
      <c r="D55" s="17"/>
      <c r="E55" s="17">
        <v>64383</v>
      </c>
      <c r="F55" s="17"/>
      <c r="G55" s="17"/>
      <c r="H55" s="17"/>
      <c r="I55" s="17"/>
      <c r="J55" s="17"/>
      <c r="K55" s="17"/>
      <c r="L55" s="17"/>
      <c r="M55" s="17"/>
      <c r="N55" s="39">
        <f t="shared" si="25"/>
        <v>1398252</v>
      </c>
      <c r="P55" s="614">
        <v>335893</v>
      </c>
      <c r="Q55" s="28">
        <v>351516</v>
      </c>
      <c r="R55" s="28">
        <v>351516</v>
      </c>
      <c r="S55" s="28">
        <v>351516</v>
      </c>
      <c r="T55" s="39"/>
      <c r="U55" s="638">
        <f t="shared" si="26"/>
        <v>1390441</v>
      </c>
      <c r="V55" s="653">
        <f t="shared" si="27"/>
        <v>7811</v>
      </c>
      <c r="Y55" s="590"/>
    </row>
    <row r="56" spans="2:25" ht="15">
      <c r="B56" s="599" t="s">
        <v>65</v>
      </c>
      <c r="C56" s="28">
        <v>107672986</v>
      </c>
      <c r="D56" s="17"/>
      <c r="E56" s="17">
        <v>640490</v>
      </c>
      <c r="F56" s="17"/>
      <c r="G56" s="17"/>
      <c r="H56" s="17"/>
      <c r="I56" s="17"/>
      <c r="J56" s="17"/>
      <c r="K56" s="17"/>
      <c r="L56" s="17"/>
      <c r="M56" s="17"/>
      <c r="N56" s="39">
        <f t="shared" si="25"/>
        <v>108313476</v>
      </c>
      <c r="P56" s="614">
        <v>21318122</v>
      </c>
      <c r="Q56" s="28">
        <v>27525607</v>
      </c>
      <c r="R56" s="28">
        <v>27248102</v>
      </c>
      <c r="S56" s="28">
        <v>25740937</v>
      </c>
      <c r="T56" s="39"/>
      <c r="U56" s="638">
        <f t="shared" si="26"/>
        <v>101832768</v>
      </c>
      <c r="V56" s="653">
        <f t="shared" si="27"/>
        <v>6480708</v>
      </c>
      <c r="Y56" s="590"/>
    </row>
    <row r="57" spans="2:25" ht="15">
      <c r="B57" s="599" t="s">
        <v>44</v>
      </c>
      <c r="C57" s="127">
        <v>257010000</v>
      </c>
      <c r="D57" s="126"/>
      <c r="E57" s="126">
        <v>100440</v>
      </c>
      <c r="F57" s="126"/>
      <c r="G57" s="126"/>
      <c r="H57" s="126"/>
      <c r="I57" s="126"/>
      <c r="J57" s="126"/>
      <c r="K57" s="126"/>
      <c r="L57" s="126"/>
      <c r="M57" s="126"/>
      <c r="N57" s="128">
        <f t="shared" si="25"/>
        <v>257110440</v>
      </c>
      <c r="P57" s="616">
        <v>3469617</v>
      </c>
      <c r="Q57" s="127">
        <v>84543068</v>
      </c>
      <c r="R57" s="127">
        <v>18227610</v>
      </c>
      <c r="S57" s="3">
        <v>116507410</v>
      </c>
      <c r="T57" s="128"/>
      <c r="U57" s="640">
        <f t="shared" si="26"/>
        <v>222747705</v>
      </c>
      <c r="V57" s="653">
        <f t="shared" si="27"/>
        <v>34362735</v>
      </c>
      <c r="Y57" s="590"/>
    </row>
    <row r="58" spans="2:25" ht="15">
      <c r="B58" s="599" t="s">
        <v>66</v>
      </c>
      <c r="C58" s="28">
        <v>1500000</v>
      </c>
      <c r="D58" s="28"/>
      <c r="E58" s="28">
        <v>0</v>
      </c>
      <c r="F58" s="28"/>
      <c r="G58" s="28"/>
      <c r="H58" s="28"/>
      <c r="I58" s="28"/>
      <c r="J58" s="28"/>
      <c r="K58" s="28"/>
      <c r="L58" s="28"/>
      <c r="M58" s="28"/>
      <c r="N58" s="39">
        <f t="shared" si="25"/>
        <v>1500000</v>
      </c>
      <c r="P58" s="614">
        <v>1479000</v>
      </c>
      <c r="Q58" s="28">
        <v>0</v>
      </c>
      <c r="R58" s="28"/>
      <c r="S58" s="28"/>
      <c r="T58" s="39"/>
      <c r="U58" s="638">
        <f t="shared" si="26"/>
        <v>1479000</v>
      </c>
      <c r="V58" s="653">
        <f t="shared" si="27"/>
        <v>21000</v>
      </c>
      <c r="Y58" s="590"/>
    </row>
    <row r="59" spans="2:25" ht="15">
      <c r="B59" s="599" t="s">
        <v>67</v>
      </c>
      <c r="C59" s="28">
        <v>107672986</v>
      </c>
      <c r="D59" s="17"/>
      <c r="E59" s="17">
        <v>640490</v>
      </c>
      <c r="F59" s="17"/>
      <c r="G59" s="17"/>
      <c r="H59" s="17"/>
      <c r="I59" s="17"/>
      <c r="J59" s="17"/>
      <c r="K59" s="17"/>
      <c r="L59" s="17"/>
      <c r="M59" s="17"/>
      <c r="N59" s="39">
        <f t="shared" si="25"/>
        <v>108313476</v>
      </c>
      <c r="P59" s="614">
        <v>21238360</v>
      </c>
      <c r="Q59" s="28">
        <v>27525607</v>
      </c>
      <c r="R59" s="28">
        <v>27248100</v>
      </c>
      <c r="S59" s="28">
        <v>25740934</v>
      </c>
      <c r="T59" s="39"/>
      <c r="U59" s="638">
        <f t="shared" si="26"/>
        <v>101753001</v>
      </c>
      <c r="V59" s="653">
        <f t="shared" si="27"/>
        <v>6560475</v>
      </c>
      <c r="Y59" s="590"/>
    </row>
    <row r="60" spans="2:25" ht="15">
      <c r="B60" s="599" t="s">
        <v>68</v>
      </c>
      <c r="C60" s="28">
        <v>12924000</v>
      </c>
      <c r="D60" s="17"/>
      <c r="E60" s="17">
        <v>87000</v>
      </c>
      <c r="F60" s="17"/>
      <c r="G60" s="17"/>
      <c r="H60" s="17"/>
      <c r="I60" s="17"/>
      <c r="J60" s="17">
        <v>102867</v>
      </c>
      <c r="K60" s="17"/>
      <c r="L60" s="17"/>
      <c r="M60" s="17"/>
      <c r="N60" s="39">
        <f t="shared" si="25"/>
        <v>13113867</v>
      </c>
      <c r="P60" s="614">
        <v>493783</v>
      </c>
      <c r="Q60" s="28">
        <v>2019653</v>
      </c>
      <c r="R60" s="28">
        <v>3399831</v>
      </c>
      <c r="S60" s="28">
        <v>4659667</v>
      </c>
      <c r="T60" s="39"/>
      <c r="U60" s="638">
        <f t="shared" si="26"/>
        <v>10572934</v>
      </c>
      <c r="V60" s="655">
        <f t="shared" si="27"/>
        <v>2540933</v>
      </c>
      <c r="Y60" s="590"/>
    </row>
    <row r="61" spans="2:25" ht="15">
      <c r="B61" s="599" t="s">
        <v>69</v>
      </c>
      <c r="C61" s="28">
        <v>311446000</v>
      </c>
      <c r="D61" s="17"/>
      <c r="E61" s="17">
        <v>1898000</v>
      </c>
      <c r="F61" s="17"/>
      <c r="G61" s="17"/>
      <c r="H61" s="17"/>
      <c r="I61" s="17"/>
      <c r="J61" s="17"/>
      <c r="K61" s="17"/>
      <c r="L61" s="17"/>
      <c r="M61" s="17"/>
      <c r="N61" s="39">
        <f t="shared" si="25"/>
        <v>313344000</v>
      </c>
      <c r="P61" s="614">
        <v>61293467</v>
      </c>
      <c r="Q61" s="28">
        <v>79591432</v>
      </c>
      <c r="R61" s="28">
        <v>78259672</v>
      </c>
      <c r="S61" s="28">
        <v>73073956</v>
      </c>
      <c r="T61" s="39"/>
      <c r="U61" s="638">
        <f t="shared" si="26"/>
        <v>292218527</v>
      </c>
      <c r="V61" s="655">
        <f t="shared" si="27"/>
        <v>21125473</v>
      </c>
      <c r="Y61" s="590"/>
    </row>
    <row r="62" spans="2:25" ht="15">
      <c r="B62" s="599" t="s">
        <v>70</v>
      </c>
      <c r="C62" s="28">
        <v>53772000</v>
      </c>
      <c r="D62" s="17"/>
      <c r="E62" s="17">
        <v>329000</v>
      </c>
      <c r="F62" s="17"/>
      <c r="G62" s="17"/>
      <c r="H62" s="17"/>
      <c r="I62" s="17"/>
      <c r="J62" s="17">
        <v>-14249</v>
      </c>
      <c r="K62" s="17"/>
      <c r="L62" s="17"/>
      <c r="M62" s="17"/>
      <c r="N62" s="39">
        <f t="shared" si="25"/>
        <v>54086751</v>
      </c>
      <c r="P62" s="614">
        <v>10204700</v>
      </c>
      <c r="Q62" s="28">
        <v>13260900</v>
      </c>
      <c r="R62" s="28">
        <v>13097800</v>
      </c>
      <c r="S62" s="28">
        <v>14053800</v>
      </c>
      <c r="T62" s="39"/>
      <c r="U62" s="638">
        <f t="shared" si="26"/>
        <v>50617200</v>
      </c>
      <c r="V62" s="655">
        <f t="shared" si="27"/>
        <v>3469551</v>
      </c>
      <c r="Y62" s="590"/>
    </row>
    <row r="63" spans="2:25" ht="15">
      <c r="B63" s="599" t="s">
        <v>71</v>
      </c>
      <c r="C63" s="28">
        <v>67233000</v>
      </c>
      <c r="D63" s="17"/>
      <c r="E63" s="17">
        <v>392000</v>
      </c>
      <c r="F63" s="17"/>
      <c r="G63" s="17"/>
      <c r="H63" s="17"/>
      <c r="I63" s="17"/>
      <c r="J63" s="17"/>
      <c r="K63" s="17"/>
      <c r="L63" s="17"/>
      <c r="M63" s="17"/>
      <c r="N63" s="39">
        <f t="shared" si="25"/>
        <v>67625000</v>
      </c>
      <c r="P63" s="614">
        <v>12755100</v>
      </c>
      <c r="Q63" s="28">
        <v>16573300</v>
      </c>
      <c r="R63" s="28">
        <v>16369800</v>
      </c>
      <c r="S63" s="28">
        <v>17567100</v>
      </c>
      <c r="T63" s="39"/>
      <c r="U63" s="638">
        <f t="shared" si="26"/>
        <v>63265300</v>
      </c>
      <c r="V63" s="655">
        <f t="shared" si="27"/>
        <v>4359700</v>
      </c>
      <c r="Y63" s="590"/>
    </row>
    <row r="64" spans="2:25" ht="15">
      <c r="B64" s="597" t="s">
        <v>45</v>
      </c>
      <c r="C64" s="29">
        <f>SUM(C65:C81)</f>
        <v>1179506091</v>
      </c>
      <c r="D64" s="29">
        <f aca="true" t="shared" si="28" ref="D64:N64">SUM(D65:D81)</f>
        <v>0</v>
      </c>
      <c r="E64" s="29">
        <f t="shared" si="28"/>
        <v>3832064</v>
      </c>
      <c r="F64" s="29"/>
      <c r="G64" s="29">
        <f t="shared" si="28"/>
        <v>0</v>
      </c>
      <c r="H64" s="29">
        <f t="shared" si="28"/>
        <v>0</v>
      </c>
      <c r="I64" s="29">
        <f t="shared" si="28"/>
        <v>-20000000</v>
      </c>
      <c r="J64" s="29">
        <f t="shared" si="28"/>
        <v>0</v>
      </c>
      <c r="K64" s="29">
        <f t="shared" si="28"/>
        <v>0</v>
      </c>
      <c r="L64" s="29">
        <f t="shared" si="28"/>
        <v>0</v>
      </c>
      <c r="M64" s="29">
        <f t="shared" si="28"/>
        <v>0</v>
      </c>
      <c r="N64" s="38">
        <f t="shared" si="28"/>
        <v>1163338155</v>
      </c>
      <c r="P64" s="615">
        <f aca="true" t="shared" si="29" ref="P64:V64">SUM(P65:P81)</f>
        <v>249243088.2295699</v>
      </c>
      <c r="Q64" s="29">
        <f t="shared" si="29"/>
        <v>205096164</v>
      </c>
      <c r="R64" s="29">
        <f t="shared" si="29"/>
        <v>235681281.51612902</v>
      </c>
      <c r="S64" s="29">
        <f t="shared" si="29"/>
        <v>311328912</v>
      </c>
      <c r="T64" s="38">
        <f>SUM(T65:T81)</f>
        <v>83238</v>
      </c>
      <c r="U64" s="639">
        <f t="shared" si="29"/>
        <v>1001432683.7456989</v>
      </c>
      <c r="V64" s="654">
        <f t="shared" si="29"/>
        <v>161905471.25430107</v>
      </c>
      <c r="Y64" s="590"/>
    </row>
    <row r="65" spans="2:25" ht="15">
      <c r="B65" s="599" t="s">
        <v>244</v>
      </c>
      <c r="C65" s="127">
        <v>118118092</v>
      </c>
      <c r="D65" s="126"/>
      <c r="E65" s="126">
        <v>124500</v>
      </c>
      <c r="F65" s="126"/>
      <c r="G65" s="126"/>
      <c r="H65" s="126"/>
      <c r="I65" s="126"/>
      <c r="J65" s="126"/>
      <c r="K65" s="126"/>
      <c r="L65" s="126"/>
      <c r="M65" s="126"/>
      <c r="N65" s="49">
        <f aca="true" t="shared" si="30" ref="N65:N81">SUM(C65:M65)</f>
        <v>118242592</v>
      </c>
      <c r="P65" s="616">
        <v>89529645.11290324</v>
      </c>
      <c r="Q65" s="127">
        <v>6424167</v>
      </c>
      <c r="R65" s="127">
        <v>1947515.5161290322</v>
      </c>
      <c r="S65" s="127">
        <v>7095258</v>
      </c>
      <c r="T65" s="128">
        <v>-1</v>
      </c>
      <c r="U65" s="640">
        <f aca="true" t="shared" si="31" ref="U65:U81">SUM(P65:T65)</f>
        <v>104996584.62903227</v>
      </c>
      <c r="V65" s="653">
        <f aca="true" t="shared" si="32" ref="V65:V81">+N65-U65</f>
        <v>13246007.37096773</v>
      </c>
      <c r="Y65" s="590"/>
    </row>
    <row r="66" spans="2:25" ht="15">
      <c r="B66" s="599" t="s">
        <v>240</v>
      </c>
      <c r="C66" s="28">
        <v>13000000</v>
      </c>
      <c r="D66" s="17"/>
      <c r="E66" s="17">
        <v>0</v>
      </c>
      <c r="F66" s="17"/>
      <c r="G66" s="17"/>
      <c r="H66" s="17"/>
      <c r="I66" s="17"/>
      <c r="J66" s="17"/>
      <c r="K66" s="17"/>
      <c r="L66" s="17"/>
      <c r="M66" s="17"/>
      <c r="N66" s="18">
        <f t="shared" si="30"/>
        <v>13000000</v>
      </c>
      <c r="P66" s="614">
        <v>4861150</v>
      </c>
      <c r="Q66" s="28">
        <v>0</v>
      </c>
      <c r="R66" s="28">
        <v>7999085</v>
      </c>
      <c r="S66" s="28">
        <v>0</v>
      </c>
      <c r="T66" s="39"/>
      <c r="U66" s="638">
        <f t="shared" si="31"/>
        <v>12860235</v>
      </c>
      <c r="V66" s="655">
        <f t="shared" si="32"/>
        <v>139765</v>
      </c>
      <c r="Y66" s="590"/>
    </row>
    <row r="67" spans="2:25" ht="15">
      <c r="B67" s="599" t="s">
        <v>72</v>
      </c>
      <c r="C67" s="28">
        <v>0</v>
      </c>
      <c r="D67" s="17"/>
      <c r="E67" s="17">
        <v>0</v>
      </c>
      <c r="F67" s="17"/>
      <c r="G67" s="17"/>
      <c r="H67" s="17"/>
      <c r="I67" s="17"/>
      <c r="J67" s="17"/>
      <c r="K67" s="17"/>
      <c r="L67" s="17"/>
      <c r="M67" s="17"/>
      <c r="N67" s="18">
        <f t="shared" si="30"/>
        <v>0</v>
      </c>
      <c r="P67" s="614"/>
      <c r="Q67" s="28">
        <v>0</v>
      </c>
      <c r="R67" s="28">
        <v>0</v>
      </c>
      <c r="S67" s="28">
        <v>0</v>
      </c>
      <c r="T67" s="39"/>
      <c r="U67" s="638">
        <f t="shared" si="31"/>
        <v>0</v>
      </c>
      <c r="V67" s="655">
        <f t="shared" si="32"/>
        <v>0</v>
      </c>
      <c r="Y67" s="590"/>
    </row>
    <row r="68" spans="2:25" ht="15">
      <c r="B68" s="599" t="s">
        <v>73</v>
      </c>
      <c r="C68" s="127">
        <v>29969040</v>
      </c>
      <c r="D68" s="126"/>
      <c r="E68" s="126">
        <v>0</v>
      </c>
      <c r="F68" s="126"/>
      <c r="G68" s="126"/>
      <c r="H68" s="126"/>
      <c r="I68" s="126"/>
      <c r="J68" s="126"/>
      <c r="K68" s="126"/>
      <c r="L68" s="126"/>
      <c r="M68" s="126"/>
      <c r="N68" s="49">
        <f t="shared" si="30"/>
        <v>29969040</v>
      </c>
      <c r="P68" s="616">
        <v>7085047</v>
      </c>
      <c r="Q68" s="127">
        <v>6932815</v>
      </c>
      <c r="R68" s="127">
        <v>6904398</v>
      </c>
      <c r="S68" s="127">
        <v>6932809</v>
      </c>
      <c r="T68" s="128"/>
      <c r="U68" s="640">
        <f t="shared" si="31"/>
        <v>27855069</v>
      </c>
      <c r="V68" s="653">
        <f t="shared" si="32"/>
        <v>2113971</v>
      </c>
      <c r="Y68" s="590"/>
    </row>
    <row r="69" spans="2:25" ht="15">
      <c r="B69" s="599" t="s">
        <v>29</v>
      </c>
      <c r="C69" s="28">
        <v>4800000</v>
      </c>
      <c r="D69" s="17"/>
      <c r="E69" s="17">
        <v>0</v>
      </c>
      <c r="F69" s="17"/>
      <c r="G69" s="17"/>
      <c r="H69" s="17"/>
      <c r="I69" s="17"/>
      <c r="J69" s="17"/>
      <c r="K69" s="17"/>
      <c r="L69" s="17"/>
      <c r="M69" s="17"/>
      <c r="N69" s="18">
        <f t="shared" si="30"/>
        <v>4800000</v>
      </c>
      <c r="P69" s="614">
        <v>1475422</v>
      </c>
      <c r="Q69" s="28">
        <v>469470</v>
      </c>
      <c r="R69" s="28">
        <v>707193</v>
      </c>
      <c r="S69" s="28">
        <v>490150</v>
      </c>
      <c r="T69" s="39"/>
      <c r="U69" s="638">
        <f t="shared" si="31"/>
        <v>3142235</v>
      </c>
      <c r="V69" s="655">
        <f t="shared" si="32"/>
        <v>1657765</v>
      </c>
      <c r="Y69" s="590"/>
    </row>
    <row r="70" spans="2:25" ht="15">
      <c r="B70" s="599" t="s">
        <v>30</v>
      </c>
      <c r="C70" s="28">
        <v>367405000</v>
      </c>
      <c r="D70" s="17"/>
      <c r="E70" s="17">
        <v>3457482</v>
      </c>
      <c r="F70" s="17"/>
      <c r="G70" s="17"/>
      <c r="H70" s="17"/>
      <c r="I70" s="17"/>
      <c r="J70" s="17"/>
      <c r="K70" s="17"/>
      <c r="L70" s="17"/>
      <c r="M70" s="17"/>
      <c r="N70" s="18">
        <f t="shared" si="30"/>
        <v>370862482</v>
      </c>
      <c r="P70" s="614">
        <v>55702450</v>
      </c>
      <c r="Q70" s="28">
        <v>74414645</v>
      </c>
      <c r="R70" s="28">
        <v>97660319</v>
      </c>
      <c r="S70" s="28">
        <v>78142470</v>
      </c>
      <c r="T70" s="39"/>
      <c r="U70" s="638">
        <f t="shared" si="31"/>
        <v>305919884</v>
      </c>
      <c r="V70" s="655">
        <f t="shared" si="32"/>
        <v>64942598</v>
      </c>
      <c r="Y70" s="590"/>
    </row>
    <row r="71" spans="2:25" ht="15">
      <c r="B71" s="599" t="s">
        <v>31</v>
      </c>
      <c r="C71" s="127">
        <v>533495159</v>
      </c>
      <c r="D71" s="126"/>
      <c r="E71" s="126">
        <v>231800</v>
      </c>
      <c r="F71" s="126"/>
      <c r="G71" s="126"/>
      <c r="H71" s="126"/>
      <c r="I71" s="126">
        <v>-20000000</v>
      </c>
      <c r="J71" s="126"/>
      <c r="K71" s="126"/>
      <c r="L71" s="126"/>
      <c r="M71" s="126"/>
      <c r="N71" s="49">
        <f t="shared" si="30"/>
        <v>513726959</v>
      </c>
      <c r="P71" s="616">
        <v>72209763.30666666</v>
      </c>
      <c r="Q71" s="127">
        <v>99901209</v>
      </c>
      <c r="R71" s="127">
        <v>108774417</v>
      </c>
      <c r="S71" s="127">
        <v>174830781</v>
      </c>
      <c r="T71" s="128">
        <f>47+83192</f>
        <v>83239</v>
      </c>
      <c r="U71" s="640">
        <f t="shared" si="31"/>
        <v>455799409.3066667</v>
      </c>
      <c r="V71" s="653">
        <f t="shared" si="32"/>
        <v>57927549.69333333</v>
      </c>
      <c r="W71" s="288" t="s">
        <v>443</v>
      </c>
      <c r="Y71" s="590"/>
    </row>
    <row r="72" spans="2:25" ht="15">
      <c r="B72" s="599" t="s">
        <v>74</v>
      </c>
      <c r="C72" s="127">
        <v>0</v>
      </c>
      <c r="D72" s="126"/>
      <c r="E72" s="126">
        <v>0</v>
      </c>
      <c r="F72" s="126"/>
      <c r="G72" s="126"/>
      <c r="H72" s="126"/>
      <c r="I72" s="126"/>
      <c r="J72" s="126"/>
      <c r="K72" s="126"/>
      <c r="L72" s="126"/>
      <c r="M72" s="126"/>
      <c r="N72" s="49">
        <f t="shared" si="30"/>
        <v>0</v>
      </c>
      <c r="P72" s="616"/>
      <c r="Q72" s="127"/>
      <c r="R72" s="127">
        <v>0</v>
      </c>
      <c r="S72" s="127">
        <v>0</v>
      </c>
      <c r="T72" s="128"/>
      <c r="U72" s="640">
        <f t="shared" si="31"/>
        <v>0</v>
      </c>
      <c r="V72" s="653">
        <f t="shared" si="32"/>
        <v>0</v>
      </c>
      <c r="Y72" s="590"/>
    </row>
    <row r="73" spans="2:25" ht="15">
      <c r="B73" s="599" t="s">
        <v>32</v>
      </c>
      <c r="C73" s="127">
        <v>14897000</v>
      </c>
      <c r="D73" s="126"/>
      <c r="E73" s="126">
        <v>12276</v>
      </c>
      <c r="F73" s="126"/>
      <c r="G73" s="126"/>
      <c r="H73" s="126"/>
      <c r="I73" s="126"/>
      <c r="J73" s="126"/>
      <c r="K73" s="126"/>
      <c r="L73" s="126"/>
      <c r="M73" s="126"/>
      <c r="N73" s="49">
        <f t="shared" si="30"/>
        <v>14909276</v>
      </c>
      <c r="P73" s="616">
        <v>8857295.809999999</v>
      </c>
      <c r="Q73" s="127">
        <v>2286401</v>
      </c>
      <c r="R73" s="127">
        <v>1365570</v>
      </c>
      <c r="S73" s="127">
        <v>979268</v>
      </c>
      <c r="T73" s="128"/>
      <c r="U73" s="640">
        <f t="shared" si="31"/>
        <v>13488534.809999999</v>
      </c>
      <c r="V73" s="653">
        <f t="shared" si="32"/>
        <v>1420741.1900000013</v>
      </c>
      <c r="Y73" s="590"/>
    </row>
    <row r="74" spans="2:25" ht="15">
      <c r="B74" s="599" t="s">
        <v>183</v>
      </c>
      <c r="C74" s="127">
        <v>22921500</v>
      </c>
      <c r="D74" s="126"/>
      <c r="E74" s="126">
        <v>186</v>
      </c>
      <c r="F74" s="126"/>
      <c r="G74" s="126"/>
      <c r="H74" s="126"/>
      <c r="I74" s="126"/>
      <c r="J74" s="126"/>
      <c r="K74" s="126"/>
      <c r="L74" s="126"/>
      <c r="M74" s="126"/>
      <c r="N74" s="49">
        <f t="shared" si="30"/>
        <v>22921686</v>
      </c>
      <c r="P74" s="616">
        <v>1348315</v>
      </c>
      <c r="Q74" s="127">
        <v>837314</v>
      </c>
      <c r="R74" s="127">
        <v>858784</v>
      </c>
      <c r="S74" s="127">
        <v>3022141</v>
      </c>
      <c r="T74" s="128"/>
      <c r="U74" s="640">
        <f t="shared" si="31"/>
        <v>6066554</v>
      </c>
      <c r="V74" s="653">
        <f t="shared" si="32"/>
        <v>16855132</v>
      </c>
      <c r="Y74" s="590"/>
    </row>
    <row r="75" spans="2:25" ht="15">
      <c r="B75" s="599" t="s">
        <v>75</v>
      </c>
      <c r="C75" s="127">
        <v>49861300</v>
      </c>
      <c r="D75" s="126"/>
      <c r="E75" s="126">
        <v>5820</v>
      </c>
      <c r="F75" s="126"/>
      <c r="G75" s="126"/>
      <c r="H75" s="126"/>
      <c r="I75" s="126"/>
      <c r="J75" s="126"/>
      <c r="K75" s="126"/>
      <c r="L75" s="126"/>
      <c r="M75" s="126"/>
      <c r="N75" s="49">
        <f t="shared" si="30"/>
        <v>49867120</v>
      </c>
      <c r="P75" s="616">
        <v>2174000</v>
      </c>
      <c r="Q75" s="127">
        <v>7099225</v>
      </c>
      <c r="R75" s="127">
        <v>3464000</v>
      </c>
      <c r="S75" s="127">
        <v>33836035</v>
      </c>
      <c r="T75" s="128"/>
      <c r="U75" s="640">
        <f t="shared" si="31"/>
        <v>46573260</v>
      </c>
      <c r="V75" s="653">
        <f t="shared" si="32"/>
        <v>3293860</v>
      </c>
      <c r="Y75" s="590"/>
    </row>
    <row r="76" spans="2:25" ht="15">
      <c r="B76" s="599" t="s">
        <v>76</v>
      </c>
      <c r="C76" s="127">
        <v>0</v>
      </c>
      <c r="D76" s="126"/>
      <c r="E76" s="126">
        <v>0</v>
      </c>
      <c r="F76" s="126"/>
      <c r="G76" s="126"/>
      <c r="H76" s="126"/>
      <c r="I76" s="126"/>
      <c r="J76" s="126"/>
      <c r="K76" s="126"/>
      <c r="L76" s="126"/>
      <c r="M76" s="126"/>
      <c r="N76" s="49">
        <f t="shared" si="30"/>
        <v>0</v>
      </c>
      <c r="P76" s="616"/>
      <c r="Q76" s="127">
        <v>0</v>
      </c>
      <c r="R76" s="127">
        <v>0</v>
      </c>
      <c r="S76" s="127"/>
      <c r="T76" s="128"/>
      <c r="U76" s="640">
        <f t="shared" si="31"/>
        <v>0</v>
      </c>
      <c r="V76" s="653">
        <f t="shared" si="32"/>
        <v>0</v>
      </c>
      <c r="Y76" s="590"/>
    </row>
    <row r="77" spans="2:25" ht="15">
      <c r="B77" s="599" t="s">
        <v>77</v>
      </c>
      <c r="C77" s="127">
        <v>24000000</v>
      </c>
      <c r="D77" s="126"/>
      <c r="E77" s="126">
        <v>0</v>
      </c>
      <c r="F77" s="126"/>
      <c r="G77" s="126"/>
      <c r="H77" s="126"/>
      <c r="I77" s="126"/>
      <c r="J77" s="126"/>
      <c r="K77" s="126"/>
      <c r="L77" s="126"/>
      <c r="M77" s="126"/>
      <c r="N77" s="49">
        <f t="shared" si="30"/>
        <v>24000000</v>
      </c>
      <c r="P77" s="616">
        <v>6000000</v>
      </c>
      <c r="Q77" s="127">
        <v>6000000</v>
      </c>
      <c r="R77" s="127">
        <v>6000000</v>
      </c>
      <c r="S77" s="127">
        <v>6000000</v>
      </c>
      <c r="T77" s="128"/>
      <c r="U77" s="640">
        <f t="shared" si="31"/>
        <v>24000000</v>
      </c>
      <c r="V77" s="653">
        <f t="shared" si="32"/>
        <v>0</v>
      </c>
      <c r="Y77" s="590"/>
    </row>
    <row r="78" spans="2:25" ht="15">
      <c r="B78" s="599" t="s">
        <v>95</v>
      </c>
      <c r="C78" s="127">
        <v>0</v>
      </c>
      <c r="D78" s="126"/>
      <c r="E78" s="126">
        <v>0</v>
      </c>
      <c r="F78" s="126"/>
      <c r="G78" s="126"/>
      <c r="H78" s="126"/>
      <c r="I78" s="126"/>
      <c r="J78" s="126"/>
      <c r="K78" s="126"/>
      <c r="L78" s="126"/>
      <c r="M78" s="126"/>
      <c r="N78" s="49">
        <f t="shared" si="30"/>
        <v>0</v>
      </c>
      <c r="P78" s="616"/>
      <c r="Q78" s="127">
        <v>0</v>
      </c>
      <c r="R78" s="127">
        <v>0</v>
      </c>
      <c r="S78" s="127"/>
      <c r="T78" s="128"/>
      <c r="U78" s="640">
        <f t="shared" si="31"/>
        <v>0</v>
      </c>
      <c r="V78" s="653">
        <f t="shared" si="32"/>
        <v>0</v>
      </c>
      <c r="Y78" s="590"/>
    </row>
    <row r="79" spans="2:25" ht="15">
      <c r="B79" s="599" t="s">
        <v>184</v>
      </c>
      <c r="C79" s="127">
        <v>1039000</v>
      </c>
      <c r="D79" s="126"/>
      <c r="E79" s="126">
        <v>0</v>
      </c>
      <c r="F79" s="126"/>
      <c r="G79" s="126"/>
      <c r="H79" s="126"/>
      <c r="I79" s="126"/>
      <c r="J79" s="126"/>
      <c r="K79" s="126"/>
      <c r="L79" s="126"/>
      <c r="M79" s="126"/>
      <c r="N79" s="49">
        <f t="shared" si="30"/>
        <v>1039000</v>
      </c>
      <c r="P79" s="616"/>
      <c r="Q79" s="127">
        <v>730918</v>
      </c>
      <c r="R79" s="127">
        <v>0</v>
      </c>
      <c r="S79" s="127"/>
      <c r="T79" s="128"/>
      <c r="U79" s="640">
        <f t="shared" si="31"/>
        <v>730918</v>
      </c>
      <c r="V79" s="653">
        <f t="shared" si="32"/>
        <v>308082</v>
      </c>
      <c r="Y79" s="590"/>
    </row>
    <row r="80" spans="2:25" ht="15">
      <c r="B80" s="599" t="s">
        <v>46</v>
      </c>
      <c r="C80" s="127">
        <v>0</v>
      </c>
      <c r="D80" s="127"/>
      <c r="E80" s="127">
        <v>0</v>
      </c>
      <c r="F80" s="127"/>
      <c r="G80" s="127"/>
      <c r="H80" s="127"/>
      <c r="I80" s="127"/>
      <c r="J80" s="127"/>
      <c r="K80" s="127"/>
      <c r="L80" s="127"/>
      <c r="M80" s="127"/>
      <c r="N80" s="49">
        <f t="shared" si="30"/>
        <v>0</v>
      </c>
      <c r="P80" s="616"/>
      <c r="Q80" s="127">
        <v>0</v>
      </c>
      <c r="R80" s="127">
        <v>0</v>
      </c>
      <c r="S80" s="127"/>
      <c r="T80" s="128"/>
      <c r="U80" s="640">
        <f t="shared" si="31"/>
        <v>0</v>
      </c>
      <c r="V80" s="653">
        <f t="shared" si="32"/>
        <v>0</v>
      </c>
      <c r="Y80" s="590"/>
    </row>
    <row r="81" spans="2:25" ht="15">
      <c r="B81" s="599" t="s">
        <v>78</v>
      </c>
      <c r="C81" s="28">
        <v>0</v>
      </c>
      <c r="D81" s="28"/>
      <c r="E81" s="28">
        <v>0</v>
      </c>
      <c r="F81" s="28"/>
      <c r="G81" s="28"/>
      <c r="H81" s="28"/>
      <c r="I81" s="28"/>
      <c r="J81" s="28"/>
      <c r="K81" s="28"/>
      <c r="L81" s="28"/>
      <c r="M81" s="28"/>
      <c r="N81" s="18">
        <f t="shared" si="30"/>
        <v>0</v>
      </c>
      <c r="P81" s="614"/>
      <c r="Q81" s="28">
        <v>0</v>
      </c>
      <c r="R81" s="28">
        <v>0</v>
      </c>
      <c r="S81" s="28"/>
      <c r="T81" s="39"/>
      <c r="U81" s="638">
        <f t="shared" si="31"/>
        <v>0</v>
      </c>
      <c r="V81" s="655">
        <f t="shared" si="32"/>
        <v>0</v>
      </c>
      <c r="Y81" s="590"/>
    </row>
    <row r="82" spans="2:25" ht="15">
      <c r="B82" s="597" t="s">
        <v>80</v>
      </c>
      <c r="C82" s="29">
        <f aca="true" t="shared" si="33" ref="C82:N82">+C83+C101+C106</f>
        <v>2923770000</v>
      </c>
      <c r="D82" s="29">
        <f t="shared" si="33"/>
        <v>0</v>
      </c>
      <c r="E82" s="29">
        <f t="shared" si="33"/>
        <v>135160</v>
      </c>
      <c r="F82" s="29"/>
      <c r="G82" s="29">
        <f t="shared" si="33"/>
        <v>10000000</v>
      </c>
      <c r="H82" s="29">
        <f t="shared" si="33"/>
        <v>0</v>
      </c>
      <c r="I82" s="29">
        <f t="shared" si="33"/>
        <v>-48699960</v>
      </c>
      <c r="J82" s="29">
        <f t="shared" si="33"/>
        <v>0</v>
      </c>
      <c r="K82" s="29">
        <f t="shared" si="33"/>
        <v>0</v>
      </c>
      <c r="L82" s="29">
        <f t="shared" si="33"/>
        <v>0</v>
      </c>
      <c r="M82" s="29">
        <f t="shared" si="33"/>
        <v>0</v>
      </c>
      <c r="N82" s="38">
        <f t="shared" si="33"/>
        <v>2885205200</v>
      </c>
      <c r="P82" s="615">
        <f aca="true" t="shared" si="34" ref="P82:V82">+P83+P101+P106</f>
        <v>212146895.62</v>
      </c>
      <c r="Q82" s="29">
        <f t="shared" si="34"/>
        <v>552849720</v>
      </c>
      <c r="R82" s="29">
        <f t="shared" si="34"/>
        <v>808167802</v>
      </c>
      <c r="S82" s="29">
        <f t="shared" si="34"/>
        <v>1254304587</v>
      </c>
      <c r="T82" s="38">
        <f t="shared" si="34"/>
        <v>0.379999995231628</v>
      </c>
      <c r="U82" s="639">
        <f t="shared" si="34"/>
        <v>2827469005</v>
      </c>
      <c r="V82" s="654">
        <f t="shared" si="34"/>
        <v>57736195</v>
      </c>
      <c r="Y82" s="590"/>
    </row>
    <row r="83" spans="2:25" ht="15">
      <c r="B83" s="604" t="s">
        <v>96</v>
      </c>
      <c r="C83" s="29">
        <f aca="true" t="shared" si="35" ref="C83:N83">SUM(C84:C100)</f>
        <v>619470000</v>
      </c>
      <c r="D83" s="29">
        <f t="shared" si="35"/>
        <v>0</v>
      </c>
      <c r="E83" s="29">
        <f t="shared" si="35"/>
        <v>135160</v>
      </c>
      <c r="F83" s="29"/>
      <c r="G83" s="29">
        <f t="shared" si="35"/>
        <v>10000000</v>
      </c>
      <c r="H83" s="29">
        <f t="shared" si="35"/>
        <v>0</v>
      </c>
      <c r="I83" s="29">
        <f t="shared" si="35"/>
        <v>-10471004</v>
      </c>
      <c r="J83" s="29">
        <f t="shared" si="35"/>
        <v>0</v>
      </c>
      <c r="K83" s="29">
        <f t="shared" si="35"/>
        <v>0</v>
      </c>
      <c r="L83" s="29">
        <f t="shared" si="35"/>
        <v>0</v>
      </c>
      <c r="M83" s="29">
        <f t="shared" si="35"/>
        <v>0</v>
      </c>
      <c r="N83" s="38">
        <f t="shared" si="35"/>
        <v>619134156</v>
      </c>
      <c r="P83" s="615">
        <f aca="true" t="shared" si="36" ref="P83:V83">SUM(P84:P100)</f>
        <v>148781896</v>
      </c>
      <c r="Q83" s="29">
        <f t="shared" si="36"/>
        <v>122207196</v>
      </c>
      <c r="R83" s="29">
        <f t="shared" si="36"/>
        <v>183831911</v>
      </c>
      <c r="S83" s="29">
        <f t="shared" si="36"/>
        <v>113234105</v>
      </c>
      <c r="T83" s="38">
        <f t="shared" si="36"/>
        <v>0</v>
      </c>
      <c r="U83" s="639">
        <f t="shared" si="36"/>
        <v>568055108</v>
      </c>
      <c r="V83" s="654">
        <f t="shared" si="36"/>
        <v>51079048</v>
      </c>
      <c r="Y83" s="590"/>
    </row>
    <row r="84" spans="2:25" ht="15">
      <c r="B84" s="598" t="s">
        <v>181</v>
      </c>
      <c r="C84" s="40">
        <v>83300000</v>
      </c>
      <c r="D84" s="40"/>
      <c r="E84" s="40"/>
      <c r="F84" s="40">
        <v>-300000</v>
      </c>
      <c r="G84" s="40"/>
      <c r="H84" s="40"/>
      <c r="I84" s="40"/>
      <c r="J84" s="40"/>
      <c r="K84" s="40">
        <f>3320000+3320000</f>
        <v>6640000</v>
      </c>
      <c r="L84" s="40"/>
      <c r="M84" s="40">
        <v>3320000</v>
      </c>
      <c r="N84" s="18">
        <f aca="true" t="shared" si="37" ref="N84:N100">SUM(C84:M84)</f>
        <v>92960000</v>
      </c>
      <c r="P84" s="620"/>
      <c r="Q84" s="40"/>
      <c r="R84" s="126">
        <v>44820000</v>
      </c>
      <c r="S84" s="40">
        <v>44820000</v>
      </c>
      <c r="T84" s="631"/>
      <c r="U84" s="644">
        <f aca="true" t="shared" si="38" ref="U84:U100">SUM(P84:T84)</f>
        <v>89640000</v>
      </c>
      <c r="V84" s="659">
        <f aca="true" t="shared" si="39" ref="V84:V100">+N84-U84</f>
        <v>3320000</v>
      </c>
      <c r="Y84" s="590"/>
    </row>
    <row r="85" spans="2:25" ht="15">
      <c r="B85" s="598" t="s">
        <v>292</v>
      </c>
      <c r="C85" s="127">
        <v>29400000</v>
      </c>
      <c r="D85" s="127"/>
      <c r="E85" s="127"/>
      <c r="F85" s="127"/>
      <c r="G85" s="127"/>
      <c r="H85" s="127"/>
      <c r="I85" s="127"/>
      <c r="J85" s="127"/>
      <c r="K85" s="40">
        <v>-6640000</v>
      </c>
      <c r="L85" s="127"/>
      <c r="M85" s="40">
        <v>-3320000</v>
      </c>
      <c r="N85" s="49">
        <f t="shared" si="37"/>
        <v>19440000</v>
      </c>
      <c r="P85" s="616">
        <v>13200000</v>
      </c>
      <c r="Q85" s="127">
        <v>2800000</v>
      </c>
      <c r="R85" s="126"/>
      <c r="S85" s="127"/>
      <c r="T85" s="128"/>
      <c r="U85" s="640">
        <f t="shared" si="38"/>
        <v>16000000</v>
      </c>
      <c r="V85" s="653">
        <f t="shared" si="39"/>
        <v>3440000</v>
      </c>
      <c r="Y85" s="590"/>
    </row>
    <row r="86" spans="2:25" ht="15">
      <c r="B86" s="598" t="s">
        <v>293</v>
      </c>
      <c r="C86" s="127">
        <v>84000000</v>
      </c>
      <c r="D86" s="127"/>
      <c r="E86" s="127"/>
      <c r="F86" s="127"/>
      <c r="G86" s="127"/>
      <c r="H86" s="127"/>
      <c r="I86" s="127">
        <v>-3471004</v>
      </c>
      <c r="J86" s="127"/>
      <c r="K86" s="127"/>
      <c r="L86" s="127"/>
      <c r="M86" s="127"/>
      <c r="N86" s="49">
        <f t="shared" si="37"/>
        <v>80528996</v>
      </c>
      <c r="P86" s="616">
        <v>41283000</v>
      </c>
      <c r="Q86" s="127">
        <v>39245996</v>
      </c>
      <c r="R86" s="126"/>
      <c r="S86" s="127"/>
      <c r="T86" s="128"/>
      <c r="U86" s="640">
        <f t="shared" si="38"/>
        <v>80528996</v>
      </c>
      <c r="V86" s="653">
        <f t="shared" si="39"/>
        <v>0</v>
      </c>
      <c r="Y86" s="590"/>
    </row>
    <row r="87" spans="2:25" ht="15">
      <c r="B87" s="598" t="s">
        <v>263</v>
      </c>
      <c r="C87" s="127">
        <v>44000000</v>
      </c>
      <c r="D87" s="127"/>
      <c r="E87" s="127"/>
      <c r="F87" s="127"/>
      <c r="G87" s="127">
        <v>10000000</v>
      </c>
      <c r="H87" s="120"/>
      <c r="I87" s="127">
        <v>0</v>
      </c>
      <c r="J87" s="127"/>
      <c r="K87" s="127"/>
      <c r="L87" s="127"/>
      <c r="M87" s="127"/>
      <c r="N87" s="49">
        <f t="shared" si="37"/>
        <v>54000000</v>
      </c>
      <c r="P87" s="616"/>
      <c r="Q87" s="127">
        <v>43861200</v>
      </c>
      <c r="R87" s="126">
        <v>9814118</v>
      </c>
      <c r="S87" s="127"/>
      <c r="T87" s="128"/>
      <c r="U87" s="640">
        <f t="shared" si="38"/>
        <v>53675318</v>
      </c>
      <c r="V87" s="653">
        <f t="shared" si="39"/>
        <v>324682</v>
      </c>
      <c r="Y87" s="590"/>
    </row>
    <row r="88" spans="2:25" ht="15">
      <c r="B88" s="598" t="s">
        <v>241</v>
      </c>
      <c r="C88" s="127">
        <v>0</v>
      </c>
      <c r="D88" s="127"/>
      <c r="E88" s="127"/>
      <c r="F88" s="127"/>
      <c r="G88" s="127"/>
      <c r="H88" s="127"/>
      <c r="I88" s="127">
        <v>0</v>
      </c>
      <c r="J88" s="127"/>
      <c r="K88" s="127"/>
      <c r="L88" s="127"/>
      <c r="M88" s="127"/>
      <c r="N88" s="49">
        <f t="shared" si="37"/>
        <v>0</v>
      </c>
      <c r="P88" s="616"/>
      <c r="Q88" s="127"/>
      <c r="R88" s="126"/>
      <c r="S88" s="127"/>
      <c r="T88" s="128"/>
      <c r="U88" s="640">
        <f t="shared" si="38"/>
        <v>0</v>
      </c>
      <c r="V88" s="653">
        <f t="shared" si="39"/>
        <v>0</v>
      </c>
      <c r="Y88" s="590"/>
    </row>
    <row r="89" spans="2:25" ht="15">
      <c r="B89" s="598" t="s">
        <v>182</v>
      </c>
      <c r="C89" s="127">
        <v>263880000</v>
      </c>
      <c r="D89" s="127"/>
      <c r="E89" s="127"/>
      <c r="F89" s="127"/>
      <c r="G89" s="127"/>
      <c r="H89" s="127"/>
      <c r="I89" s="127">
        <v>0</v>
      </c>
      <c r="J89" s="127"/>
      <c r="K89" s="127"/>
      <c r="L89" s="127"/>
      <c r="M89" s="127"/>
      <c r="N89" s="49">
        <f t="shared" si="37"/>
        <v>263880000</v>
      </c>
      <c r="P89" s="616">
        <v>64598896</v>
      </c>
      <c r="Q89" s="127"/>
      <c r="R89" s="126">
        <v>129197793</v>
      </c>
      <c r="S89" s="127">
        <v>52805396</v>
      </c>
      <c r="T89" s="128"/>
      <c r="U89" s="640">
        <f t="shared" si="38"/>
        <v>246602085</v>
      </c>
      <c r="V89" s="653">
        <f t="shared" si="39"/>
        <v>17277915</v>
      </c>
      <c r="Y89" s="590"/>
    </row>
    <row r="90" spans="2:25" ht="15">
      <c r="B90" s="598" t="s">
        <v>296</v>
      </c>
      <c r="C90" s="127">
        <v>21000000</v>
      </c>
      <c r="D90" s="127"/>
      <c r="E90" s="127"/>
      <c r="F90" s="127"/>
      <c r="G90" s="127"/>
      <c r="H90" s="127"/>
      <c r="I90" s="127">
        <v>-7000000</v>
      </c>
      <c r="J90" s="127"/>
      <c r="K90" s="127">
        <v>1262000</v>
      </c>
      <c r="L90" s="127"/>
      <c r="M90" s="127"/>
      <c r="N90" s="49">
        <f t="shared" si="37"/>
        <v>15262000</v>
      </c>
      <c r="P90" s="616"/>
      <c r="Q90" s="127"/>
      <c r="R90" s="126"/>
      <c r="S90" s="127">
        <v>8262000</v>
      </c>
      <c r="T90" s="128"/>
      <c r="U90" s="640">
        <f t="shared" si="38"/>
        <v>8262000</v>
      </c>
      <c r="V90" s="653">
        <f t="shared" si="39"/>
        <v>7000000</v>
      </c>
      <c r="Y90" s="590"/>
    </row>
    <row r="91" spans="2:25" ht="15">
      <c r="B91" s="598" t="s">
        <v>246</v>
      </c>
      <c r="C91" s="127">
        <v>0</v>
      </c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49">
        <f t="shared" si="37"/>
        <v>0</v>
      </c>
      <c r="P91" s="616"/>
      <c r="Q91" s="127"/>
      <c r="R91" s="126"/>
      <c r="S91" s="127"/>
      <c r="T91" s="128"/>
      <c r="U91" s="640">
        <f t="shared" si="38"/>
        <v>0</v>
      </c>
      <c r="V91" s="653">
        <f t="shared" si="39"/>
        <v>0</v>
      </c>
      <c r="Y91" s="590"/>
    </row>
    <row r="92" spans="2:25" ht="15">
      <c r="B92" s="598" t="s">
        <v>242</v>
      </c>
      <c r="C92" s="127">
        <v>0</v>
      </c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49">
        <f t="shared" si="37"/>
        <v>0</v>
      </c>
      <c r="P92" s="616"/>
      <c r="Q92" s="127"/>
      <c r="R92" s="126"/>
      <c r="S92" s="127"/>
      <c r="T92" s="128"/>
      <c r="U92" s="640">
        <f t="shared" si="38"/>
        <v>0</v>
      </c>
      <c r="V92" s="653">
        <f t="shared" si="39"/>
        <v>0</v>
      </c>
      <c r="Y92" s="590"/>
    </row>
    <row r="93" spans="2:25" ht="15">
      <c r="B93" s="598" t="s">
        <v>327</v>
      </c>
      <c r="C93" s="127">
        <v>66000000</v>
      </c>
      <c r="D93" s="127"/>
      <c r="E93" s="127"/>
      <c r="F93" s="127">
        <v>300000</v>
      </c>
      <c r="G93" s="127"/>
      <c r="H93" s="127"/>
      <c r="I93" s="127"/>
      <c r="J93" s="127"/>
      <c r="K93" s="127"/>
      <c r="L93" s="127"/>
      <c r="M93" s="127"/>
      <c r="N93" s="49">
        <f t="shared" si="37"/>
        <v>66300000</v>
      </c>
      <c r="P93" s="616">
        <v>29700000</v>
      </c>
      <c r="Q93" s="127">
        <v>36300000</v>
      </c>
      <c r="R93" s="126"/>
      <c r="S93" s="127"/>
      <c r="T93" s="128"/>
      <c r="U93" s="640">
        <f t="shared" si="38"/>
        <v>66000000</v>
      </c>
      <c r="V93" s="653">
        <f t="shared" si="39"/>
        <v>300000</v>
      </c>
      <c r="Y93" s="590"/>
    </row>
    <row r="94" spans="2:25" ht="15">
      <c r="B94" s="598" t="s">
        <v>260</v>
      </c>
      <c r="C94" s="127">
        <v>0</v>
      </c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49">
        <f t="shared" si="37"/>
        <v>0</v>
      </c>
      <c r="P94" s="616"/>
      <c r="Q94" s="127"/>
      <c r="R94" s="126"/>
      <c r="S94" s="127"/>
      <c r="T94" s="128"/>
      <c r="U94" s="640">
        <f t="shared" si="38"/>
        <v>0</v>
      </c>
      <c r="V94" s="653">
        <f t="shared" si="39"/>
        <v>0</v>
      </c>
      <c r="Y94" s="590"/>
    </row>
    <row r="95" spans="2:25" ht="15">
      <c r="B95" s="598" t="s">
        <v>297</v>
      </c>
      <c r="C95" s="127">
        <v>0</v>
      </c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49">
        <f t="shared" si="37"/>
        <v>0</v>
      </c>
      <c r="P95" s="616"/>
      <c r="Q95" s="127"/>
      <c r="R95" s="126"/>
      <c r="S95" s="127"/>
      <c r="T95" s="128"/>
      <c r="U95" s="640">
        <f t="shared" si="38"/>
        <v>0</v>
      </c>
      <c r="V95" s="653">
        <f t="shared" si="39"/>
        <v>0</v>
      </c>
      <c r="Y95" s="590"/>
    </row>
    <row r="96" spans="2:25" ht="15">
      <c r="B96" s="598" t="s">
        <v>247</v>
      </c>
      <c r="C96" s="127">
        <v>0</v>
      </c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49">
        <f t="shared" si="37"/>
        <v>0</v>
      </c>
      <c r="P96" s="616"/>
      <c r="Q96" s="127"/>
      <c r="R96" s="126"/>
      <c r="S96" s="127"/>
      <c r="T96" s="128"/>
      <c r="U96" s="640">
        <f t="shared" si="38"/>
        <v>0</v>
      </c>
      <c r="V96" s="653">
        <f t="shared" si="39"/>
        <v>0</v>
      </c>
      <c r="Y96" s="590"/>
    </row>
    <row r="97" spans="2:25" ht="15">
      <c r="B97" s="598" t="s">
        <v>294</v>
      </c>
      <c r="C97" s="127">
        <v>0</v>
      </c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49">
        <f t="shared" si="37"/>
        <v>0</v>
      </c>
      <c r="P97" s="616"/>
      <c r="Q97" s="127"/>
      <c r="R97" s="126"/>
      <c r="S97" s="127"/>
      <c r="T97" s="128"/>
      <c r="U97" s="640">
        <f t="shared" si="38"/>
        <v>0</v>
      </c>
      <c r="V97" s="653">
        <f t="shared" si="39"/>
        <v>0</v>
      </c>
      <c r="Y97" s="590"/>
    </row>
    <row r="98" spans="2:25" ht="15">
      <c r="B98" s="598" t="s">
        <v>264</v>
      </c>
      <c r="C98" s="127">
        <v>5000000</v>
      </c>
      <c r="D98" s="127"/>
      <c r="E98" s="127"/>
      <c r="F98" s="127"/>
      <c r="G98" s="127"/>
      <c r="H98" s="127"/>
      <c r="I98" s="127"/>
      <c r="J98" s="127"/>
      <c r="K98" s="127"/>
      <c r="L98" s="127"/>
      <c r="M98" s="127">
        <v>2346709</v>
      </c>
      <c r="N98" s="49">
        <f t="shared" si="37"/>
        <v>7346709</v>
      </c>
      <c r="P98" s="616"/>
      <c r="Q98" s="127"/>
      <c r="R98" s="126"/>
      <c r="S98" s="127">
        <v>7346709</v>
      </c>
      <c r="T98" s="128"/>
      <c r="U98" s="640">
        <f t="shared" si="38"/>
        <v>7346709</v>
      </c>
      <c r="V98" s="653">
        <f t="shared" si="39"/>
        <v>0</v>
      </c>
      <c r="Y98" s="590"/>
    </row>
    <row r="99" spans="2:25" ht="15">
      <c r="B99" s="598" t="s">
        <v>265</v>
      </c>
      <c r="C99" s="127">
        <v>22890000</v>
      </c>
      <c r="D99" s="127"/>
      <c r="E99" s="127">
        <v>135160</v>
      </c>
      <c r="F99" s="127"/>
      <c r="G99" s="127"/>
      <c r="H99" s="127"/>
      <c r="I99" s="127"/>
      <c r="J99" s="127"/>
      <c r="K99" s="127">
        <v>-1262000</v>
      </c>
      <c r="L99" s="127"/>
      <c r="M99" s="127">
        <v>-2346709</v>
      </c>
      <c r="N99" s="49">
        <f t="shared" si="37"/>
        <v>19416451</v>
      </c>
      <c r="P99" s="616"/>
      <c r="Q99" s="127"/>
      <c r="R99" s="126"/>
      <c r="S99" s="127"/>
      <c r="T99" s="128"/>
      <c r="U99" s="640">
        <f t="shared" si="38"/>
        <v>0</v>
      </c>
      <c r="V99" s="653">
        <f t="shared" si="39"/>
        <v>19416451</v>
      </c>
      <c r="Y99" s="590"/>
    </row>
    <row r="100" spans="2:25" ht="15">
      <c r="B100" s="598" t="s">
        <v>298</v>
      </c>
      <c r="C100" s="28">
        <v>0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18">
        <f t="shared" si="37"/>
        <v>0</v>
      </c>
      <c r="P100" s="614"/>
      <c r="Q100" s="28"/>
      <c r="R100" s="126"/>
      <c r="S100" s="28"/>
      <c r="T100" s="39"/>
      <c r="U100" s="638">
        <f t="shared" si="38"/>
        <v>0</v>
      </c>
      <c r="V100" s="655">
        <f t="shared" si="39"/>
        <v>0</v>
      </c>
      <c r="Y100" s="590"/>
    </row>
    <row r="101" spans="2:25" ht="15">
      <c r="B101" s="604" t="s">
        <v>209</v>
      </c>
      <c r="C101" s="29">
        <f>SUM(C102:C105)</f>
        <v>1934000000</v>
      </c>
      <c r="D101" s="29">
        <f aca="true" t="shared" si="40" ref="D101:N101">SUM(D102:D105)</f>
        <v>0</v>
      </c>
      <c r="E101" s="29">
        <f t="shared" si="40"/>
        <v>0</v>
      </c>
      <c r="F101" s="29"/>
      <c r="G101" s="29">
        <f t="shared" si="40"/>
        <v>0</v>
      </c>
      <c r="H101" s="29">
        <f t="shared" si="40"/>
        <v>0</v>
      </c>
      <c r="I101" s="29">
        <f t="shared" si="40"/>
        <v>0</v>
      </c>
      <c r="J101" s="29">
        <f t="shared" si="40"/>
        <v>0</v>
      </c>
      <c r="K101" s="29">
        <f t="shared" si="40"/>
        <v>0</v>
      </c>
      <c r="L101" s="29">
        <f t="shared" si="40"/>
        <v>0</v>
      </c>
      <c r="M101" s="29">
        <f t="shared" si="40"/>
        <v>0</v>
      </c>
      <c r="N101" s="38">
        <f t="shared" si="40"/>
        <v>1934000000</v>
      </c>
      <c r="P101" s="615">
        <f aca="true" t="shared" si="41" ref="P101:U101">SUM(P102:P105)</f>
        <v>63364999.620000005</v>
      </c>
      <c r="Q101" s="29">
        <f t="shared" si="41"/>
        <v>322557002</v>
      </c>
      <c r="R101" s="29">
        <f t="shared" si="41"/>
        <v>516250369</v>
      </c>
      <c r="S101" s="29">
        <f t="shared" si="41"/>
        <v>1030984960</v>
      </c>
      <c r="T101" s="38">
        <f t="shared" si="41"/>
        <v>0.379999995231628</v>
      </c>
      <c r="U101" s="639">
        <f t="shared" si="41"/>
        <v>1933157331</v>
      </c>
      <c r="V101" s="654">
        <f>SUM(V102:V105)</f>
        <v>842669</v>
      </c>
      <c r="Y101" s="590"/>
    </row>
    <row r="102" spans="2:25" ht="15">
      <c r="B102" s="598" t="s">
        <v>150</v>
      </c>
      <c r="C102" s="127">
        <v>1310000000</v>
      </c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49">
        <f>SUM(C102:M102)</f>
        <v>1310000000</v>
      </c>
      <c r="P102" s="616">
        <v>26364999.78</v>
      </c>
      <c r="Q102" s="127">
        <v>204057000</v>
      </c>
      <c r="R102" s="127">
        <v>302323900</v>
      </c>
      <c r="S102" s="127">
        <v>776484961</v>
      </c>
      <c r="T102" s="663">
        <v>0.220000028610229</v>
      </c>
      <c r="U102" s="640">
        <f>SUM(P102:T102)</f>
        <v>1309230861</v>
      </c>
      <c r="V102" s="653">
        <f>+N102-U102</f>
        <v>769139</v>
      </c>
      <c r="Y102" s="590"/>
    </row>
    <row r="103" spans="2:25" ht="15">
      <c r="B103" s="598" t="s">
        <v>151</v>
      </c>
      <c r="C103" s="28">
        <v>180000000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18">
        <f>SUM(C103:M103)</f>
        <v>180000000</v>
      </c>
      <c r="P103" s="614"/>
      <c r="Q103" s="28">
        <v>24000000</v>
      </c>
      <c r="R103" s="28">
        <v>74000000</v>
      </c>
      <c r="S103" s="28">
        <v>82000000</v>
      </c>
      <c r="T103" s="664"/>
      <c r="U103" s="638">
        <f>SUM(P103:T103)</f>
        <v>180000000</v>
      </c>
      <c r="V103" s="655">
        <f>+N103-U103</f>
        <v>0</v>
      </c>
      <c r="Y103" s="590"/>
    </row>
    <row r="104" spans="2:25" ht="15">
      <c r="B104" s="598" t="s">
        <v>152</v>
      </c>
      <c r="C104" s="28">
        <v>383000000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18">
        <f>SUM(C104:M104)</f>
        <v>383000000</v>
      </c>
      <c r="P104" s="614">
        <v>36999999.84</v>
      </c>
      <c r="Q104" s="28">
        <v>84500002</v>
      </c>
      <c r="R104" s="28">
        <v>139926469</v>
      </c>
      <c r="S104" s="28">
        <v>121499999</v>
      </c>
      <c r="T104" s="664">
        <v>0.159999966621399</v>
      </c>
      <c r="U104" s="638">
        <f>SUM(P104:T104)</f>
        <v>382926470</v>
      </c>
      <c r="V104" s="655">
        <f>+N104-U104</f>
        <v>73530</v>
      </c>
      <c r="Y104" s="590"/>
    </row>
    <row r="105" spans="2:25" ht="15">
      <c r="B105" s="598" t="s">
        <v>243</v>
      </c>
      <c r="C105" s="28">
        <v>61000000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18">
        <f>SUM(C105:M105)</f>
        <v>61000000</v>
      </c>
      <c r="P105" s="614"/>
      <c r="Q105" s="28">
        <v>10000000</v>
      </c>
      <c r="R105" s="28">
        <v>0</v>
      </c>
      <c r="S105" s="28">
        <v>51000000</v>
      </c>
      <c r="T105" s="39"/>
      <c r="U105" s="638">
        <f>SUM(P105:T105)</f>
        <v>61000000</v>
      </c>
      <c r="V105" s="655">
        <f>+N105-U105</f>
        <v>0</v>
      </c>
      <c r="Y105" s="590"/>
    </row>
    <row r="106" spans="2:25" ht="15">
      <c r="B106" s="604" t="s">
        <v>440</v>
      </c>
      <c r="C106" s="29">
        <f>SUM(C107:C110)</f>
        <v>370300000</v>
      </c>
      <c r="D106" s="29">
        <f aca="true" t="shared" si="42" ref="D106:N106">SUM(D107:D110)</f>
        <v>0</v>
      </c>
      <c r="E106" s="29">
        <f t="shared" si="42"/>
        <v>0</v>
      </c>
      <c r="F106" s="29"/>
      <c r="G106" s="29">
        <f t="shared" si="42"/>
        <v>0</v>
      </c>
      <c r="H106" s="29">
        <f t="shared" si="42"/>
        <v>0</v>
      </c>
      <c r="I106" s="29">
        <f t="shared" si="42"/>
        <v>-38228956</v>
      </c>
      <c r="J106" s="29">
        <f t="shared" si="42"/>
        <v>0</v>
      </c>
      <c r="K106" s="29">
        <f t="shared" si="42"/>
        <v>0</v>
      </c>
      <c r="L106" s="29">
        <f t="shared" si="42"/>
        <v>0</v>
      </c>
      <c r="M106" s="29">
        <f t="shared" si="42"/>
        <v>0</v>
      </c>
      <c r="N106" s="38">
        <f t="shared" si="42"/>
        <v>332071044</v>
      </c>
      <c r="P106" s="615">
        <f aca="true" t="shared" si="43" ref="P106:V106">SUM(P107:P110)</f>
        <v>0</v>
      </c>
      <c r="Q106" s="29">
        <f t="shared" si="43"/>
        <v>108085522</v>
      </c>
      <c r="R106" s="29">
        <f t="shared" si="43"/>
        <v>108085522</v>
      </c>
      <c r="S106" s="29">
        <f t="shared" si="43"/>
        <v>110085522</v>
      </c>
      <c r="T106" s="38">
        <f t="shared" si="43"/>
        <v>0</v>
      </c>
      <c r="U106" s="639">
        <f>SUM(U107:U110)</f>
        <v>326256566</v>
      </c>
      <c r="V106" s="654">
        <f t="shared" si="43"/>
        <v>5814478</v>
      </c>
      <c r="Y106" s="590"/>
    </row>
    <row r="107" spans="2:25" ht="15">
      <c r="B107" s="598" t="s">
        <v>387</v>
      </c>
      <c r="C107" s="40">
        <v>60000000</v>
      </c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18">
        <f>SUM(C107:M107)</f>
        <v>60000000</v>
      </c>
      <c r="P107" s="620"/>
      <c r="Q107" s="40">
        <v>20000000</v>
      </c>
      <c r="R107" s="40">
        <v>20000000</v>
      </c>
      <c r="S107" s="40">
        <v>20000000</v>
      </c>
      <c r="T107" s="631"/>
      <c r="U107" s="644">
        <f>SUM(P107:T107)</f>
        <v>60000000</v>
      </c>
      <c r="V107" s="659">
        <f>+N107-U107</f>
        <v>0</v>
      </c>
      <c r="Y107" s="590"/>
    </row>
    <row r="108" spans="2:25" ht="15">
      <c r="B108" s="598" t="s">
        <v>388</v>
      </c>
      <c r="C108" s="40">
        <v>60000000</v>
      </c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18">
        <f>SUM(C108:M108)</f>
        <v>60000000</v>
      </c>
      <c r="P108" s="620"/>
      <c r="Q108" s="40">
        <v>19000000</v>
      </c>
      <c r="R108" s="40">
        <v>19000000</v>
      </c>
      <c r="S108" s="40">
        <v>20000000</v>
      </c>
      <c r="T108" s="631"/>
      <c r="U108" s="644">
        <f>SUM(P108:T108)</f>
        <v>58000000</v>
      </c>
      <c r="V108" s="659">
        <f>+N108-U108</f>
        <v>2000000</v>
      </c>
      <c r="Y108" s="590"/>
    </row>
    <row r="109" spans="2:25" ht="15">
      <c r="B109" s="598" t="s">
        <v>389</v>
      </c>
      <c r="C109" s="40">
        <v>60000000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18">
        <f>SUM(C109:M109)</f>
        <v>60000000</v>
      </c>
      <c r="P109" s="620"/>
      <c r="Q109" s="40">
        <v>19000000</v>
      </c>
      <c r="R109" s="40">
        <v>19000000</v>
      </c>
      <c r="S109" s="40">
        <v>20000000</v>
      </c>
      <c r="T109" s="631"/>
      <c r="U109" s="644">
        <f>SUM(P109:T109)</f>
        <v>58000000</v>
      </c>
      <c r="V109" s="659">
        <f>+N109-U109</f>
        <v>2000000</v>
      </c>
      <c r="Y109" s="590"/>
    </row>
    <row r="110" spans="2:25" ht="15.75" thickBot="1">
      <c r="B110" s="598" t="s">
        <v>393</v>
      </c>
      <c r="C110" s="127">
        <v>190300000</v>
      </c>
      <c r="D110" s="127"/>
      <c r="E110" s="127"/>
      <c r="F110" s="127"/>
      <c r="G110" s="127"/>
      <c r="H110" s="127"/>
      <c r="I110" s="127">
        <v>-38228956</v>
      </c>
      <c r="J110" s="127"/>
      <c r="K110" s="127"/>
      <c r="L110" s="127"/>
      <c r="M110" s="127"/>
      <c r="N110" s="49">
        <f>SUM(C110:M110)</f>
        <v>152071044</v>
      </c>
      <c r="P110" s="616"/>
      <c r="Q110" s="127">
        <v>50085522</v>
      </c>
      <c r="R110" s="127">
        <v>50085522</v>
      </c>
      <c r="S110" s="127">
        <v>50085522</v>
      </c>
      <c r="T110" s="128"/>
      <c r="U110" s="640">
        <f>SUM(P110:T110)</f>
        <v>150256566</v>
      </c>
      <c r="V110" s="653">
        <f>+N110-U110</f>
        <v>1814478</v>
      </c>
      <c r="Y110" s="590"/>
    </row>
    <row r="111" spans="2:25" ht="15">
      <c r="B111" s="605" t="s">
        <v>210</v>
      </c>
      <c r="C111" s="43">
        <f aca="true" t="shared" si="44" ref="C111:N111">+C51+C20+C49</f>
        <v>8577025085.975444</v>
      </c>
      <c r="D111" s="43">
        <f t="shared" si="44"/>
        <v>0</v>
      </c>
      <c r="E111" s="43">
        <f t="shared" si="44"/>
        <v>24086679</v>
      </c>
      <c r="F111" s="43"/>
      <c r="G111" s="43">
        <f t="shared" si="44"/>
        <v>267385300</v>
      </c>
      <c r="H111" s="43">
        <f t="shared" si="44"/>
        <v>55000000</v>
      </c>
      <c r="I111" s="43">
        <f t="shared" si="44"/>
        <v>-95000481</v>
      </c>
      <c r="J111" s="43">
        <f t="shared" si="44"/>
        <v>0</v>
      </c>
      <c r="K111" s="43">
        <f t="shared" si="44"/>
        <v>0</v>
      </c>
      <c r="L111" s="43">
        <f t="shared" si="44"/>
        <v>94737200</v>
      </c>
      <c r="M111" s="43">
        <f t="shared" si="44"/>
        <v>0</v>
      </c>
      <c r="N111" s="44">
        <f t="shared" si="44"/>
        <v>8923233783.975443</v>
      </c>
      <c r="P111" s="621">
        <f>+P51+P20+P49</f>
        <v>1554066065.9234667</v>
      </c>
      <c r="Q111" s="43">
        <f aca="true" t="shared" si="45" ref="Q111:V111">+Q51+Q20+Q49</f>
        <v>1959676943.4</v>
      </c>
      <c r="R111" s="43">
        <f t="shared" si="45"/>
        <v>2187774496.6741934</v>
      </c>
      <c r="S111" s="43">
        <f>+S51+S20+S49</f>
        <v>2726880993.6</v>
      </c>
      <c r="T111" s="44">
        <f>+T51+T20+T49</f>
        <v>-56526.653466679156</v>
      </c>
      <c r="U111" s="645">
        <f>+U51+U20+U49</f>
        <v>8428341972.944194</v>
      </c>
      <c r="V111" s="660">
        <f t="shared" si="45"/>
        <v>494891811.03125</v>
      </c>
      <c r="Y111" s="590"/>
    </row>
    <row r="112" spans="2:25" ht="15">
      <c r="B112" s="594" t="s">
        <v>81</v>
      </c>
      <c r="C112" s="29">
        <f aca="true" t="shared" si="46" ref="C112:N112">+C18-C111</f>
        <v>4475727986.9204035</v>
      </c>
      <c r="D112" s="29">
        <f t="shared" si="46"/>
        <v>2659828558.514017</v>
      </c>
      <c r="E112" s="29">
        <f t="shared" si="46"/>
        <v>-24086679</v>
      </c>
      <c r="F112" s="29"/>
      <c r="G112" s="29">
        <f t="shared" si="46"/>
        <v>2323967700</v>
      </c>
      <c r="H112" s="29">
        <f t="shared" si="46"/>
        <v>802073328</v>
      </c>
      <c r="I112" s="29">
        <f t="shared" si="46"/>
        <v>95000481</v>
      </c>
      <c r="J112" s="29">
        <f t="shared" si="46"/>
        <v>0</v>
      </c>
      <c r="K112" s="29">
        <f t="shared" si="46"/>
        <v>0</v>
      </c>
      <c r="L112" s="29">
        <f t="shared" si="46"/>
        <v>2238834800</v>
      </c>
      <c r="M112" s="29">
        <f t="shared" si="46"/>
        <v>0</v>
      </c>
      <c r="N112" s="38">
        <f t="shared" si="46"/>
        <v>12571346175.43442</v>
      </c>
      <c r="P112" s="615">
        <f>+P18-P111</f>
        <v>1461153079.0765333</v>
      </c>
      <c r="Q112" s="29">
        <f aca="true" t="shared" si="47" ref="Q112:V112">+Q18-Q111</f>
        <v>1468501419.6</v>
      </c>
      <c r="R112" s="29">
        <f t="shared" si="47"/>
        <v>2401134399.3258066</v>
      </c>
      <c r="S112" s="29">
        <f t="shared" si="47"/>
        <v>80058782.4000001</v>
      </c>
      <c r="T112" s="38">
        <f>+T18-T111</f>
        <v>8268759566.019821</v>
      </c>
      <c r="U112" s="639">
        <f>+U18-U111</f>
        <v>13679607246.422161</v>
      </c>
      <c r="V112" s="654">
        <f t="shared" si="47"/>
        <v>-1108261070.9877403</v>
      </c>
      <c r="Y112" s="590"/>
    </row>
    <row r="113" spans="2:25" ht="15.75" thickBot="1">
      <c r="B113" s="606" t="s">
        <v>82</v>
      </c>
      <c r="C113" s="46">
        <f>SUM(C111:C112)</f>
        <v>13052753072.895847</v>
      </c>
      <c r="D113" s="46">
        <f aca="true" t="shared" si="48" ref="D113:N113">SUM(D111:D112)</f>
        <v>2659828558.514017</v>
      </c>
      <c r="E113" s="46">
        <f t="shared" si="48"/>
        <v>0</v>
      </c>
      <c r="F113" s="46"/>
      <c r="G113" s="46">
        <f t="shared" si="48"/>
        <v>2591353000</v>
      </c>
      <c r="H113" s="46">
        <f t="shared" si="48"/>
        <v>857073328</v>
      </c>
      <c r="I113" s="46">
        <f t="shared" si="48"/>
        <v>0</v>
      </c>
      <c r="J113" s="46">
        <f t="shared" si="48"/>
        <v>0</v>
      </c>
      <c r="K113" s="46">
        <f t="shared" si="48"/>
        <v>0</v>
      </c>
      <c r="L113" s="46">
        <f t="shared" si="48"/>
        <v>2333572000</v>
      </c>
      <c r="M113" s="46">
        <f t="shared" si="48"/>
        <v>0</v>
      </c>
      <c r="N113" s="47">
        <f t="shared" si="48"/>
        <v>21494579959.409863</v>
      </c>
      <c r="P113" s="622">
        <f aca="true" t="shared" si="49" ref="P113:V113">SUM(P111:P112)</f>
        <v>3015219145</v>
      </c>
      <c r="Q113" s="46">
        <f>SUM(Q111:Q112)</f>
        <v>3428178363</v>
      </c>
      <c r="R113" s="46">
        <f t="shared" si="49"/>
        <v>4588908896</v>
      </c>
      <c r="S113" s="46">
        <f t="shared" si="49"/>
        <v>2806939776</v>
      </c>
      <c r="T113" s="47">
        <f>SUM(T111:T112)</f>
        <v>8268703039.366355</v>
      </c>
      <c r="U113" s="646">
        <f>SUM(U111:U112)</f>
        <v>22107949219.366356</v>
      </c>
      <c r="V113" s="661">
        <f t="shared" si="49"/>
        <v>-613369259.9564903</v>
      </c>
      <c r="Y113" s="590"/>
    </row>
    <row r="114" spans="2:22" ht="15">
      <c r="B114" s="288" t="s">
        <v>83</v>
      </c>
      <c r="C114" s="3">
        <f>+C18-C113</f>
        <v>0</v>
      </c>
      <c r="D114" s="3">
        <f>+D18-D113</f>
        <v>0</v>
      </c>
      <c r="N114" s="3">
        <f>+N18-N113</f>
        <v>0</v>
      </c>
      <c r="P114" s="3">
        <f aca="true" t="shared" si="50" ref="P114:V114">+P18-P113</f>
        <v>0</v>
      </c>
      <c r="Q114" s="3">
        <f t="shared" si="50"/>
        <v>0</v>
      </c>
      <c r="R114" s="3">
        <f t="shared" si="50"/>
        <v>0</v>
      </c>
      <c r="S114" s="3">
        <f t="shared" si="50"/>
        <v>0</v>
      </c>
      <c r="T114" s="3">
        <f t="shared" si="50"/>
        <v>0</v>
      </c>
      <c r="U114" s="3">
        <f t="shared" si="50"/>
        <v>0</v>
      </c>
      <c r="V114" s="3">
        <f t="shared" si="50"/>
        <v>0</v>
      </c>
    </row>
    <row r="115" ht="15">
      <c r="B115" s="607"/>
    </row>
    <row r="116" spans="2:21" ht="15" hidden="1">
      <c r="B116" s="607"/>
      <c r="P116" s="3">
        <v>1444655829</v>
      </c>
      <c r="Q116" s="3">
        <v>2003845690</v>
      </c>
      <c r="R116" s="3">
        <v>2234506789</v>
      </c>
      <c r="S116" s="3">
        <v>2827273600</v>
      </c>
      <c r="U116" s="3">
        <f>+'[4]P&amp;G'!C15</f>
        <v>8509997084</v>
      </c>
    </row>
    <row r="117" spans="16:21" ht="15" hidden="1">
      <c r="P117" s="3">
        <v>151321254</v>
      </c>
      <c r="Q117" s="3">
        <v>4632713</v>
      </c>
      <c r="R117" s="3">
        <v>0</v>
      </c>
      <c r="S117" s="3">
        <v>0</v>
      </c>
      <c r="U117" s="3">
        <f>SUM(P117:S117)</f>
        <v>155953967</v>
      </c>
    </row>
    <row r="118" spans="16:21" ht="15" hidden="1">
      <c r="P118" s="623">
        <v>-41910971</v>
      </c>
      <c r="Q118" s="623">
        <v>-48573206</v>
      </c>
      <c r="R118" s="623">
        <v>-46732294</v>
      </c>
      <c r="S118" s="623">
        <v>-100378910</v>
      </c>
      <c r="U118" s="623">
        <f>-'[4]P&amp;G'!C13</f>
        <v>-237595381</v>
      </c>
    </row>
    <row r="119" spans="16:21" ht="15" hidden="1">
      <c r="P119" s="3">
        <f>SUM(P116:P118)</f>
        <v>1554066112</v>
      </c>
      <c r="Q119" s="3">
        <f>SUM(Q116:Q118)</f>
        <v>1959905197</v>
      </c>
      <c r="R119" s="3">
        <f>SUM(R116:R118)</f>
        <v>2187774495</v>
      </c>
      <c r="S119" s="3">
        <f>SUM(S116:S118)</f>
        <v>2726894690</v>
      </c>
      <c r="U119" s="3">
        <f>SUM(U116:U118)</f>
        <v>8428355670</v>
      </c>
    </row>
    <row r="120" spans="16:21" ht="15" hidden="1">
      <c r="P120" s="623">
        <f>+P111</f>
        <v>1554066065.9234667</v>
      </c>
      <c r="Q120" s="623">
        <f>+Q111</f>
        <v>1959676943.4</v>
      </c>
      <c r="R120" s="623">
        <f>+R111</f>
        <v>2187774496.6741934</v>
      </c>
      <c r="S120" s="623">
        <f>+S111</f>
        <v>2726880993.6</v>
      </c>
      <c r="U120" s="623">
        <f>+U111</f>
        <v>8428341972.944194</v>
      </c>
    </row>
    <row r="121" spans="16:21" ht="15" hidden="1">
      <c r="P121" s="3">
        <f>+P119-P120</f>
        <v>46.07653331756592</v>
      </c>
      <c r="Q121" s="3">
        <f>+Q119-Q120</f>
        <v>228253.59999990463</v>
      </c>
      <c r="R121" s="3">
        <f>+R119-R120</f>
        <v>-1.6741933822631836</v>
      </c>
      <c r="S121" s="3">
        <f>+S119-S120</f>
        <v>13696.400000095367</v>
      </c>
      <c r="U121" s="3">
        <f>+U119-U120</f>
        <v>13697.055806159973</v>
      </c>
    </row>
    <row r="122" spans="16:17" ht="15" hidden="1">
      <c r="P122" s="3" t="s">
        <v>441</v>
      </c>
      <c r="Q122" s="3" t="s">
        <v>442</v>
      </c>
    </row>
    <row r="123" ht="15" hidden="1"/>
  </sheetData>
  <sheetProtection/>
  <autoFilter ref="B8:V114"/>
  <mergeCells count="6">
    <mergeCell ref="B2:N2"/>
    <mergeCell ref="B3:N3"/>
    <mergeCell ref="B4:N4"/>
    <mergeCell ref="B5:N5"/>
    <mergeCell ref="B6:N6"/>
    <mergeCell ref="B8:B9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scale="7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9"/>
  <sheetViews>
    <sheetView zoomScale="90" zoomScaleNormal="90" zoomScalePageLayoutView="0" workbookViewId="0" topLeftCell="A1">
      <selection activeCell="E21" sqref="E21"/>
    </sheetView>
  </sheetViews>
  <sheetFormatPr defaultColWidth="11.421875" defaultRowHeight="15"/>
  <cols>
    <col min="1" max="1" width="11.421875" style="338" customWidth="1"/>
    <col min="2" max="2" width="35.7109375" style="338" customWidth="1"/>
    <col min="3" max="3" width="16.7109375" style="338" bestFit="1" customWidth="1"/>
    <col min="4" max="4" width="13.421875" style="338" bestFit="1" customWidth="1"/>
    <col min="5" max="5" width="18.8515625" style="338" customWidth="1"/>
    <col min="6" max="6" width="73.140625" style="338" customWidth="1"/>
    <col min="7" max="16384" width="11.421875" style="338" customWidth="1"/>
  </cols>
  <sheetData>
    <row r="2" spans="2:6" s="464" customFormat="1" ht="15" customHeight="1">
      <c r="B2" s="703" t="s">
        <v>49</v>
      </c>
      <c r="C2" s="703"/>
      <c r="D2" s="703"/>
      <c r="E2" s="703"/>
      <c r="F2" s="703"/>
    </row>
    <row r="3" spans="2:6" s="464" customFormat="1" ht="21" customHeight="1">
      <c r="B3" s="703" t="s">
        <v>332</v>
      </c>
      <c r="C3" s="703"/>
      <c r="D3" s="703"/>
      <c r="E3" s="703"/>
      <c r="F3" s="703"/>
    </row>
    <row r="4" spans="2:6" ht="15.75" thickBot="1">
      <c r="B4" s="464"/>
      <c r="C4" s="465"/>
      <c r="D4" s="464"/>
      <c r="E4" s="465"/>
      <c r="F4" s="464"/>
    </row>
    <row r="5" spans="2:6" ht="15.75" thickBot="1">
      <c r="B5" s="398" t="s">
        <v>288</v>
      </c>
      <c r="C5" s="462" t="s">
        <v>201</v>
      </c>
      <c r="D5" s="460" t="s">
        <v>109</v>
      </c>
      <c r="E5" s="463" t="s">
        <v>368</v>
      </c>
      <c r="F5" s="466" t="s">
        <v>149</v>
      </c>
    </row>
    <row r="6" spans="2:6" ht="15">
      <c r="B6" s="459" t="s">
        <v>45</v>
      </c>
      <c r="C6" s="456"/>
      <c r="D6" s="467"/>
      <c r="E6" s="468">
        <f>+E7+E12+E15</f>
        <v>0</v>
      </c>
      <c r="F6" s="469"/>
    </row>
    <row r="7" spans="2:6" ht="15">
      <c r="B7" s="394" t="s">
        <v>314</v>
      </c>
      <c r="C7" s="461"/>
      <c r="D7" s="461"/>
      <c r="E7" s="461">
        <f>SUM(E8:E11)</f>
        <v>0</v>
      </c>
      <c r="F7" s="470"/>
    </row>
    <row r="8" spans="2:6" ht="15">
      <c r="B8" s="396" t="s">
        <v>333</v>
      </c>
      <c r="C8" s="395">
        <v>3000000</v>
      </c>
      <c r="D8" s="457">
        <v>2</v>
      </c>
      <c r="E8" s="395">
        <v>0</v>
      </c>
      <c r="F8" s="458" t="s">
        <v>334</v>
      </c>
    </row>
    <row r="9" spans="2:6" ht="15">
      <c r="B9" s="396" t="s">
        <v>335</v>
      </c>
      <c r="C9" s="395">
        <v>766500</v>
      </c>
      <c r="D9" s="457">
        <v>6</v>
      </c>
      <c r="E9" s="395">
        <v>0</v>
      </c>
      <c r="F9" s="458" t="s">
        <v>336</v>
      </c>
    </row>
    <row r="10" spans="2:6" ht="15">
      <c r="B10" s="396" t="s">
        <v>337</v>
      </c>
      <c r="C10" s="395">
        <v>600000</v>
      </c>
      <c r="D10" s="457">
        <v>2</v>
      </c>
      <c r="E10" s="395">
        <v>0</v>
      </c>
      <c r="F10" s="458" t="s">
        <v>338</v>
      </c>
    </row>
    <row r="11" spans="2:6" ht="15">
      <c r="B11" s="396" t="s">
        <v>339</v>
      </c>
      <c r="C11" s="395">
        <v>600000</v>
      </c>
      <c r="D11" s="457">
        <v>6</v>
      </c>
      <c r="E11" s="395">
        <v>0</v>
      </c>
      <c r="F11" s="458" t="s">
        <v>340</v>
      </c>
    </row>
    <row r="12" spans="2:6" ht="15">
      <c r="B12" s="394" t="s">
        <v>110</v>
      </c>
      <c r="C12" s="461"/>
      <c r="D12" s="471"/>
      <c r="E12" s="461">
        <f>SUM(E13:E14)</f>
        <v>0</v>
      </c>
      <c r="F12" s="470"/>
    </row>
    <row r="13" spans="2:6" ht="30.75">
      <c r="B13" s="397" t="s">
        <v>341</v>
      </c>
      <c r="C13" s="395">
        <v>20000000</v>
      </c>
      <c r="D13" s="457">
        <v>1</v>
      </c>
      <c r="E13" s="395">
        <v>0</v>
      </c>
      <c r="F13" s="458" t="s">
        <v>342</v>
      </c>
    </row>
    <row r="14" spans="2:6" ht="30.75">
      <c r="B14" s="397" t="s">
        <v>343</v>
      </c>
      <c r="C14" s="395">
        <v>40000000</v>
      </c>
      <c r="D14" s="457">
        <v>1</v>
      </c>
      <c r="E14" s="395">
        <v>0</v>
      </c>
      <c r="F14" s="458" t="s">
        <v>344</v>
      </c>
    </row>
    <row r="15" spans="2:6" ht="15">
      <c r="B15" s="394" t="s">
        <v>289</v>
      </c>
      <c r="C15" s="461"/>
      <c r="D15" s="471"/>
      <c r="E15" s="461">
        <f>SUM(E16:E20)</f>
        <v>0</v>
      </c>
      <c r="F15" s="470"/>
    </row>
    <row r="16" spans="2:6" ht="15">
      <c r="B16" s="396" t="s">
        <v>345</v>
      </c>
      <c r="C16" s="395">
        <v>200000</v>
      </c>
      <c r="D16" s="457">
        <v>500</v>
      </c>
      <c r="E16" s="395">
        <v>0</v>
      </c>
      <c r="F16" s="472" t="s">
        <v>346</v>
      </c>
    </row>
    <row r="17" spans="2:6" ht="46.5">
      <c r="B17" s="396" t="s">
        <v>347</v>
      </c>
      <c r="C17" s="395">
        <v>18000000</v>
      </c>
      <c r="D17" s="457">
        <v>1</v>
      </c>
      <c r="E17" s="395">
        <v>0</v>
      </c>
      <c r="F17" s="472" t="s">
        <v>348</v>
      </c>
    </row>
    <row r="18" spans="2:6" ht="30.75">
      <c r="B18" s="396" t="s">
        <v>349</v>
      </c>
      <c r="C18" s="395">
        <v>3000000</v>
      </c>
      <c r="D18" s="457">
        <v>2</v>
      </c>
      <c r="E18" s="395">
        <v>0</v>
      </c>
      <c r="F18" s="472" t="s">
        <v>350</v>
      </c>
    </row>
    <row r="19" spans="2:6" ht="15">
      <c r="B19" s="396" t="s">
        <v>351</v>
      </c>
      <c r="C19" s="395">
        <v>39000000</v>
      </c>
      <c r="D19" s="457">
        <v>1</v>
      </c>
      <c r="E19" s="395">
        <v>0</v>
      </c>
      <c r="F19" s="472" t="s">
        <v>352</v>
      </c>
    </row>
    <row r="20" spans="2:6" ht="31.5" thickBot="1">
      <c r="B20" s="473" t="s">
        <v>353</v>
      </c>
      <c r="C20" s="474">
        <v>23000000</v>
      </c>
      <c r="D20" s="475">
        <v>1</v>
      </c>
      <c r="E20" s="474">
        <v>0</v>
      </c>
      <c r="F20" s="476" t="s">
        <v>354</v>
      </c>
    </row>
    <row r="21" spans="2:6" ht="15.75" thickBot="1">
      <c r="B21" s="399" t="s">
        <v>82</v>
      </c>
      <c r="C21" s="477"/>
      <c r="D21" s="478"/>
      <c r="E21" s="479">
        <f>E7+E12+E15</f>
        <v>0</v>
      </c>
      <c r="F21" s="480"/>
    </row>
    <row r="22" ht="15.75" thickBot="1"/>
    <row r="23" spans="2:6" ht="15.75" thickBot="1">
      <c r="B23" s="398" t="s">
        <v>288</v>
      </c>
      <c r="C23" s="462" t="s">
        <v>201</v>
      </c>
      <c r="D23" s="460" t="s">
        <v>109</v>
      </c>
      <c r="E23" s="463" t="s">
        <v>368</v>
      </c>
      <c r="F23" s="466" t="s">
        <v>149</v>
      </c>
    </row>
    <row r="24" spans="2:6" ht="15">
      <c r="B24" s="459" t="s">
        <v>45</v>
      </c>
      <c r="C24" s="456"/>
      <c r="D24" s="467"/>
      <c r="E24" s="468">
        <f>+E25+E30+E33</f>
        <v>261399000</v>
      </c>
      <c r="F24" s="469"/>
    </row>
    <row r="25" spans="2:6" ht="15">
      <c r="B25" s="394" t="s">
        <v>314</v>
      </c>
      <c r="C25" s="461"/>
      <c r="D25" s="461"/>
      <c r="E25" s="461">
        <f>SUM(E26:E29)</f>
        <v>15399000</v>
      </c>
      <c r="F25" s="470"/>
    </row>
    <row r="26" spans="2:6" ht="15">
      <c r="B26" s="396" t="s">
        <v>333</v>
      </c>
      <c r="C26" s="395">
        <v>3000000</v>
      </c>
      <c r="D26" s="457">
        <v>2</v>
      </c>
      <c r="E26" s="395">
        <f>+C26*D26</f>
        <v>6000000</v>
      </c>
      <c r="F26" s="458" t="s">
        <v>334</v>
      </c>
    </row>
    <row r="27" spans="2:6" ht="15">
      <c r="B27" s="396" t="s">
        <v>335</v>
      </c>
      <c r="C27" s="395">
        <v>766500</v>
      </c>
      <c r="D27" s="457">
        <v>6</v>
      </c>
      <c r="E27" s="395">
        <f>+C27*D27</f>
        <v>4599000</v>
      </c>
      <c r="F27" s="458" t="s">
        <v>336</v>
      </c>
    </row>
    <row r="28" spans="2:6" ht="15">
      <c r="B28" s="396" t="s">
        <v>337</v>
      </c>
      <c r="C28" s="395">
        <v>600000</v>
      </c>
      <c r="D28" s="457">
        <v>2</v>
      </c>
      <c r="E28" s="395">
        <f>+C28*D28</f>
        <v>1200000</v>
      </c>
      <c r="F28" s="458" t="s">
        <v>338</v>
      </c>
    </row>
    <row r="29" spans="2:6" ht="15">
      <c r="B29" s="396" t="s">
        <v>339</v>
      </c>
      <c r="C29" s="395">
        <v>600000</v>
      </c>
      <c r="D29" s="457">
        <v>6</v>
      </c>
      <c r="E29" s="395">
        <f>+C29*D29</f>
        <v>3600000</v>
      </c>
      <c r="F29" s="458" t="s">
        <v>340</v>
      </c>
    </row>
    <row r="30" spans="2:6" ht="15">
      <c r="B30" s="394" t="s">
        <v>110</v>
      </c>
      <c r="C30" s="461"/>
      <c r="D30" s="471"/>
      <c r="E30" s="461">
        <f>SUM(E31:E32)</f>
        <v>60000000</v>
      </c>
      <c r="F30" s="470"/>
    </row>
    <row r="31" spans="2:6" ht="30.75">
      <c r="B31" s="397" t="s">
        <v>341</v>
      </c>
      <c r="C31" s="395">
        <v>20000000</v>
      </c>
      <c r="D31" s="457">
        <v>1</v>
      </c>
      <c r="E31" s="395">
        <f>+C31*D31</f>
        <v>20000000</v>
      </c>
      <c r="F31" s="458" t="s">
        <v>342</v>
      </c>
    </row>
    <row r="32" spans="2:6" ht="30.75">
      <c r="B32" s="397" t="s">
        <v>343</v>
      </c>
      <c r="C32" s="395">
        <v>40000000</v>
      </c>
      <c r="D32" s="457">
        <v>1</v>
      </c>
      <c r="E32" s="395">
        <f>+C32*D32</f>
        <v>40000000</v>
      </c>
      <c r="F32" s="458" t="s">
        <v>344</v>
      </c>
    </row>
    <row r="33" spans="2:6" ht="15">
      <c r="B33" s="394" t="s">
        <v>289</v>
      </c>
      <c r="C33" s="461"/>
      <c r="D33" s="471"/>
      <c r="E33" s="461">
        <f>SUM(E34:E38)</f>
        <v>186000000</v>
      </c>
      <c r="F33" s="470"/>
    </row>
    <row r="34" spans="2:6" ht="15">
      <c r="B34" s="396" t="s">
        <v>345</v>
      </c>
      <c r="C34" s="395">
        <v>200000</v>
      </c>
      <c r="D34" s="457">
        <v>500</v>
      </c>
      <c r="E34" s="395">
        <f>+D34*C34</f>
        <v>100000000</v>
      </c>
      <c r="F34" s="472" t="s">
        <v>346</v>
      </c>
    </row>
    <row r="35" spans="2:6" ht="46.5">
      <c r="B35" s="396" t="s">
        <v>347</v>
      </c>
      <c r="C35" s="395">
        <v>18000000</v>
      </c>
      <c r="D35" s="457">
        <v>1</v>
      </c>
      <c r="E35" s="395">
        <f>+C35*D35</f>
        <v>18000000</v>
      </c>
      <c r="F35" s="472" t="s">
        <v>348</v>
      </c>
    </row>
    <row r="36" spans="2:6" ht="30.75">
      <c r="B36" s="396" t="s">
        <v>349</v>
      </c>
      <c r="C36" s="395">
        <v>3000000</v>
      </c>
      <c r="D36" s="457">
        <v>2</v>
      </c>
      <c r="E36" s="395">
        <f>+C36*D36</f>
        <v>6000000</v>
      </c>
      <c r="F36" s="472" t="s">
        <v>350</v>
      </c>
    </row>
    <row r="37" spans="2:6" ht="15">
      <c r="B37" s="396" t="s">
        <v>351</v>
      </c>
      <c r="C37" s="395">
        <v>39000000</v>
      </c>
      <c r="D37" s="457">
        <v>1</v>
      </c>
      <c r="E37" s="395">
        <f>+C37*D37</f>
        <v>39000000</v>
      </c>
      <c r="F37" s="472" t="s">
        <v>352</v>
      </c>
    </row>
    <row r="38" spans="2:6" ht="31.5" thickBot="1">
      <c r="B38" s="473" t="s">
        <v>353</v>
      </c>
      <c r="C38" s="474">
        <v>23000000</v>
      </c>
      <c r="D38" s="475">
        <v>1</v>
      </c>
      <c r="E38" s="474">
        <f>+C38*D38</f>
        <v>23000000</v>
      </c>
      <c r="F38" s="476" t="s">
        <v>354</v>
      </c>
    </row>
    <row r="39" spans="2:6" ht="15.75" thickBot="1">
      <c r="B39" s="399" t="s">
        <v>82</v>
      </c>
      <c r="C39" s="477"/>
      <c r="D39" s="478"/>
      <c r="E39" s="479">
        <f>E25+E30+E33</f>
        <v>261399000</v>
      </c>
      <c r="F39" s="480"/>
    </row>
  </sheetData>
  <sheetProtection/>
  <autoFilter ref="B5:F21"/>
  <mergeCells count="2">
    <mergeCell ref="B2:F2"/>
    <mergeCell ref="B3:F3"/>
  </mergeCells>
  <printOptions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40.28125" style="3" customWidth="1"/>
    <col min="2" max="5" width="18.7109375" style="524" customWidth="1"/>
    <col min="6" max="7" width="19.00390625" style="524" customWidth="1"/>
    <col min="8" max="9" width="17.421875" style="524" customWidth="1"/>
    <col min="10" max="10" width="11.28125" style="61" customWidth="1"/>
    <col min="11" max="11" width="18.421875" style="118" customWidth="1"/>
    <col min="12" max="12" width="20.00390625" style="200" bestFit="1" customWidth="1"/>
    <col min="13" max="13" width="15.7109375" style="200" bestFit="1" customWidth="1"/>
    <col min="14" max="16384" width="11.421875" style="200" customWidth="1"/>
  </cols>
  <sheetData>
    <row r="1" spans="1:11" s="179" customFormat="1" ht="21" customHeight="1">
      <c r="A1" s="670" t="s">
        <v>89</v>
      </c>
      <c r="B1" s="670"/>
      <c r="C1" s="670"/>
      <c r="D1" s="670"/>
      <c r="E1" s="670"/>
      <c r="F1" s="670"/>
      <c r="G1" s="670"/>
      <c r="H1" s="670"/>
      <c r="I1" s="670"/>
      <c r="J1" s="670"/>
      <c r="K1" s="178"/>
    </row>
    <row r="2" spans="1:11" s="179" customFormat="1" ht="21" customHeight="1">
      <c r="A2" s="670" t="s">
        <v>212</v>
      </c>
      <c r="B2" s="670"/>
      <c r="C2" s="670"/>
      <c r="D2" s="670"/>
      <c r="E2" s="670"/>
      <c r="F2" s="670"/>
      <c r="G2" s="670"/>
      <c r="H2" s="670"/>
      <c r="I2" s="670"/>
      <c r="J2" s="670"/>
      <c r="K2" s="178"/>
    </row>
    <row r="3" spans="1:11" s="179" customFormat="1" ht="21" customHeight="1">
      <c r="A3" s="670" t="s">
        <v>213</v>
      </c>
      <c r="B3" s="670"/>
      <c r="C3" s="670"/>
      <c r="D3" s="670"/>
      <c r="E3" s="670"/>
      <c r="F3" s="670"/>
      <c r="G3" s="670"/>
      <c r="H3" s="670"/>
      <c r="I3" s="670"/>
      <c r="J3" s="670"/>
      <c r="K3" s="178"/>
    </row>
    <row r="4" spans="1:11" s="179" customFormat="1" ht="20.25" customHeight="1">
      <c r="A4" s="675" t="s">
        <v>112</v>
      </c>
      <c r="B4" s="675"/>
      <c r="C4" s="675"/>
      <c r="D4" s="675"/>
      <c r="E4" s="675"/>
      <c r="F4" s="675"/>
      <c r="G4" s="675"/>
      <c r="H4" s="675"/>
      <c r="I4" s="675"/>
      <c r="J4" s="675"/>
      <c r="K4" s="178"/>
    </row>
    <row r="5" spans="1:10" ht="18" customHeight="1" thickBot="1">
      <c r="A5" s="5"/>
      <c r="B5" s="483"/>
      <c r="C5" s="483"/>
      <c r="D5" s="483"/>
      <c r="E5" s="483"/>
      <c r="F5" s="484"/>
      <c r="G5" s="484"/>
      <c r="H5" s="484"/>
      <c r="I5" s="484"/>
      <c r="J5" s="201"/>
    </row>
    <row r="6" spans="1:13" ht="13.5" customHeight="1" thickBot="1">
      <c r="A6" s="673" t="s">
        <v>50</v>
      </c>
      <c r="B6" s="676" t="s">
        <v>273</v>
      </c>
      <c r="C6" s="676"/>
      <c r="D6" s="676"/>
      <c r="E6" s="676"/>
      <c r="F6" s="677" t="s">
        <v>136</v>
      </c>
      <c r="G6" s="678"/>
      <c r="H6" s="671" t="s">
        <v>28</v>
      </c>
      <c r="I6" s="671" t="s">
        <v>82</v>
      </c>
      <c r="J6" s="177" t="s">
        <v>84</v>
      </c>
      <c r="K6" s="178"/>
      <c r="L6" s="179"/>
      <c r="M6" s="179"/>
    </row>
    <row r="7" spans="1:13" ht="46.5" customHeight="1" thickBot="1">
      <c r="A7" s="674"/>
      <c r="B7" s="485" t="s">
        <v>114</v>
      </c>
      <c r="C7" s="486" t="s">
        <v>115</v>
      </c>
      <c r="D7" s="486" t="s">
        <v>137</v>
      </c>
      <c r="E7" s="487" t="s">
        <v>28</v>
      </c>
      <c r="F7" s="485" t="s">
        <v>274</v>
      </c>
      <c r="G7" s="488" t="s">
        <v>275</v>
      </c>
      <c r="H7" s="672"/>
      <c r="I7" s="672"/>
      <c r="J7" s="180" t="s">
        <v>116</v>
      </c>
      <c r="K7" s="178"/>
      <c r="L7" s="179"/>
      <c r="M7" s="179"/>
    </row>
    <row r="8" spans="1:13" ht="15">
      <c r="A8" s="181" t="s">
        <v>43</v>
      </c>
      <c r="B8" s="489" t="e">
        <f aca="true" t="shared" si="0" ref="B8:H8">SUM(B9:B19)</f>
        <v>#REF!</v>
      </c>
      <c r="C8" s="490" t="e">
        <f t="shared" si="0"/>
        <v>#REF!</v>
      </c>
      <c r="D8" s="490" t="e">
        <f t="shared" si="0"/>
        <v>#REF!</v>
      </c>
      <c r="E8" s="491" t="e">
        <f t="shared" si="0"/>
        <v>#REF!</v>
      </c>
      <c r="F8" s="489" t="e">
        <f t="shared" si="0"/>
        <v>#REF!</v>
      </c>
      <c r="G8" s="492" t="e">
        <f t="shared" si="0"/>
        <v>#REF!</v>
      </c>
      <c r="H8" s="491" t="e">
        <f t="shared" si="0"/>
        <v>#REF!</v>
      </c>
      <c r="I8" s="491" t="e">
        <f>+E8+H8</f>
        <v>#REF!</v>
      </c>
      <c r="J8" s="182" t="e">
        <f>+I8/$I$56</f>
        <v>#REF!</v>
      </c>
      <c r="K8" s="178"/>
      <c r="L8" s="183"/>
      <c r="M8" s="179"/>
    </row>
    <row r="9" spans="1:14" ht="15">
      <c r="A9" s="184" t="s">
        <v>63</v>
      </c>
      <c r="B9" s="493">
        <f>+'NOMINA 2022 PLANTA'!J39</f>
        <v>158603375</v>
      </c>
      <c r="C9" s="494">
        <f>+'NOMINA 2022 PLANTA'!J71+'NOMINA 2022 PLANTA'!J80</f>
        <v>869392119</v>
      </c>
      <c r="D9" s="494">
        <f>+'NOMINA 2022 PLANTA'!J87+'NOMINA 2022 PLANTA'!J93+'NOMINA 2022 PLANTA'!J100</f>
        <v>274193846</v>
      </c>
      <c r="E9" s="495">
        <f>SUM(B9:D9)</f>
        <v>1302189340</v>
      </c>
      <c r="F9" s="493">
        <f>+'NOMINA 2022 PLANTA'!J9</f>
        <v>56773982</v>
      </c>
      <c r="G9" s="496">
        <f>+'NOMINA 2022 PLANTA'!J29</f>
        <v>447619664</v>
      </c>
      <c r="H9" s="495">
        <f>SUM(F9:G9)</f>
        <v>504393646</v>
      </c>
      <c r="I9" s="495">
        <f>+E9+H9</f>
        <v>1806582986</v>
      </c>
      <c r="J9" s="185" t="e">
        <f>+I9/$I$56</f>
        <v>#REF!</v>
      </c>
      <c r="K9" s="178"/>
      <c r="L9" s="183"/>
      <c r="M9" s="179"/>
      <c r="N9" s="202"/>
    </row>
    <row r="10" spans="1:14" ht="15">
      <c r="A10" s="184" t="s">
        <v>64</v>
      </c>
      <c r="B10" s="493">
        <f>+'NOMINA 2022 PLANTA'!N39</f>
        <v>6608473</v>
      </c>
      <c r="C10" s="494">
        <f>+'NOMINA 2022 PLANTA'!N80+'NOMINA 2022 PLANTA'!N71</f>
        <v>35747694</v>
      </c>
      <c r="D10" s="494">
        <f>+'NOMINA 2022 PLANTA'!N87+'NOMINA 2022 PLANTA'!N93+'NOMINA 2022 PLANTA'!N100</f>
        <v>11424742</v>
      </c>
      <c r="E10" s="495">
        <f aca="true" t="shared" si="1" ref="E10:E19">SUM(B10:D10)</f>
        <v>53780909</v>
      </c>
      <c r="F10" s="493">
        <f>+'NOMINA 2022 PLANTA'!N9+1</f>
        <v>2365583</v>
      </c>
      <c r="G10" s="496">
        <f>+'NOMINA 2022 PLANTA'!N29</f>
        <v>18650815</v>
      </c>
      <c r="H10" s="495">
        <f aca="true" t="shared" si="2" ref="H10:H18">SUM(F10:G10)</f>
        <v>21016398</v>
      </c>
      <c r="I10" s="495">
        <f aca="true" t="shared" si="3" ref="I10:I38">+E10+H10</f>
        <v>74797307</v>
      </c>
      <c r="J10" s="185" t="e">
        <f aca="true" t="shared" si="4" ref="J10:J19">+I10/$I$56</f>
        <v>#REF!</v>
      </c>
      <c r="K10" s="178"/>
      <c r="L10" s="183"/>
      <c r="M10" s="179"/>
      <c r="N10" s="202"/>
    </row>
    <row r="11" spans="1:14" ht="15">
      <c r="A11" s="184" t="s">
        <v>88</v>
      </c>
      <c r="B11" s="493">
        <v>0</v>
      </c>
      <c r="C11" s="494">
        <f>+'NOMINA 2022 PLANTA'!H103</f>
        <v>1333868.6199999999</v>
      </c>
      <c r="D11" s="494">
        <v>0</v>
      </c>
      <c r="E11" s="495">
        <f t="shared" si="1"/>
        <v>1333868.6199999999</v>
      </c>
      <c r="F11" s="493">
        <f>+'NOMINA 2022 PLANTA'!H9</f>
        <v>0</v>
      </c>
      <c r="G11" s="496">
        <f>+'NOMINA 2022 PLANTA'!H103+'NOMINA 2022 PLANTA'!H103</f>
        <v>2667737.2399999998</v>
      </c>
      <c r="H11" s="495">
        <f t="shared" si="2"/>
        <v>2667737.2399999998</v>
      </c>
      <c r="I11" s="495">
        <f t="shared" si="3"/>
        <v>4001605.8599999994</v>
      </c>
      <c r="J11" s="185" t="e">
        <f t="shared" si="4"/>
        <v>#REF!</v>
      </c>
      <c r="K11" s="178"/>
      <c r="L11" s="183"/>
      <c r="M11" s="186"/>
      <c r="N11" s="202"/>
    </row>
    <row r="12" spans="1:14" ht="15">
      <c r="A12" s="184" t="s">
        <v>65</v>
      </c>
      <c r="B12" s="493">
        <f>+'NOMINA 2022 PLANTA'!M39</f>
        <v>13216949</v>
      </c>
      <c r="C12" s="494">
        <f>+'NOMINA 2022 PLANTA'!M80+'NOMINA 2022 PLANTA'!M71</f>
        <v>71606548</v>
      </c>
      <c r="D12" s="494">
        <f>+'NOMINA 2022 PLANTA'!M87+'NOMINA 2022 PLANTA'!M93+'NOMINA 2022 PLANTA'!M100</f>
        <v>22849489</v>
      </c>
      <c r="E12" s="495">
        <f t="shared" si="1"/>
        <v>107672986</v>
      </c>
      <c r="F12" s="493">
        <f>+'NOMINA 2022 PLANTA'!M9</f>
        <v>4731166</v>
      </c>
      <c r="G12" s="496">
        <f>+'NOMINA 2022 PLANTA'!M29</f>
        <v>37523956</v>
      </c>
      <c r="H12" s="495">
        <f t="shared" si="2"/>
        <v>42255122</v>
      </c>
      <c r="I12" s="495">
        <f t="shared" si="3"/>
        <v>149928108</v>
      </c>
      <c r="J12" s="185" t="e">
        <f t="shared" si="4"/>
        <v>#REF!</v>
      </c>
      <c r="K12" s="178"/>
      <c r="L12" s="183"/>
      <c r="M12" s="186"/>
      <c r="N12" s="202"/>
    </row>
    <row r="13" spans="1:14" ht="15">
      <c r="A13" s="184" t="s">
        <v>44</v>
      </c>
      <c r="B13" s="493" t="e">
        <f>+#REF!</f>
        <v>#REF!</v>
      </c>
      <c r="C13" s="494" t="e">
        <f>+#REF!+#REF!+#REF!+#REF!</f>
        <v>#REF!</v>
      </c>
      <c r="D13" s="494" t="e">
        <f>+#REF!+#REF!</f>
        <v>#REF!</v>
      </c>
      <c r="E13" s="495" t="e">
        <f>SUM(B13:D13)</f>
        <v>#REF!</v>
      </c>
      <c r="F13" s="493" t="e">
        <f>+#REF!+#REF!</f>
        <v>#REF!</v>
      </c>
      <c r="G13" s="496" t="e">
        <f>+#REF!</f>
        <v>#REF!</v>
      </c>
      <c r="H13" s="495" t="e">
        <f t="shared" si="2"/>
        <v>#REF!</v>
      </c>
      <c r="I13" s="495" t="e">
        <f t="shared" si="3"/>
        <v>#REF!</v>
      </c>
      <c r="J13" s="185" t="e">
        <f t="shared" si="4"/>
        <v>#REF!</v>
      </c>
      <c r="K13" s="178"/>
      <c r="L13" s="183"/>
      <c r="M13" s="179"/>
      <c r="N13" s="202"/>
    </row>
    <row r="14" spans="1:14" ht="15">
      <c r="A14" s="184" t="s">
        <v>66</v>
      </c>
      <c r="B14" s="493">
        <v>0</v>
      </c>
      <c r="C14" s="494">
        <f>+'NOMINA 2022 PLANTA'!V71</f>
        <v>1500000</v>
      </c>
      <c r="D14" s="494">
        <v>0</v>
      </c>
      <c r="E14" s="495">
        <f t="shared" si="1"/>
        <v>1500000</v>
      </c>
      <c r="F14" s="493">
        <f>+'NOMINA 2022 PLANTA'!V9</f>
        <v>0</v>
      </c>
      <c r="G14" s="496">
        <f>+'NOMINA 2022 PLANTA'!V29</f>
        <v>3000000</v>
      </c>
      <c r="H14" s="495">
        <f t="shared" si="2"/>
        <v>3000000</v>
      </c>
      <c r="I14" s="495">
        <f t="shared" si="3"/>
        <v>4500000</v>
      </c>
      <c r="J14" s="185" t="e">
        <f t="shared" si="4"/>
        <v>#REF!</v>
      </c>
      <c r="K14" s="178"/>
      <c r="L14" s="183"/>
      <c r="M14" s="179"/>
      <c r="N14" s="202"/>
    </row>
    <row r="15" spans="1:14" ht="15">
      <c r="A15" s="184" t="s">
        <v>67</v>
      </c>
      <c r="B15" s="493">
        <f>+'NOMINA 2022 PLANTA'!K39</f>
        <v>13216949</v>
      </c>
      <c r="C15" s="494">
        <f>+'NOMINA 2022 PLANTA'!K80+'NOMINA 2022 PLANTA'!K71</f>
        <v>71606548</v>
      </c>
      <c r="D15" s="494">
        <f>+'NOMINA 2022 PLANTA'!K87+'NOMINA 2022 PLANTA'!K93+'NOMINA 2022 PLANTA'!K100</f>
        <v>22849489</v>
      </c>
      <c r="E15" s="495">
        <f t="shared" si="1"/>
        <v>107672986</v>
      </c>
      <c r="F15" s="493">
        <f>+'NOMINA 2022 PLANTA'!K9</f>
        <v>4731166</v>
      </c>
      <c r="G15" s="496">
        <f>+'NOMINA 2022 PLANTA'!K29</f>
        <v>37523956</v>
      </c>
      <c r="H15" s="495">
        <f t="shared" si="2"/>
        <v>42255122</v>
      </c>
      <c r="I15" s="495">
        <f t="shared" si="3"/>
        <v>149928108</v>
      </c>
      <c r="J15" s="185" t="e">
        <f t="shared" si="4"/>
        <v>#REF!</v>
      </c>
      <c r="K15" s="178"/>
      <c r="L15" s="183"/>
      <c r="M15" s="179"/>
      <c r="N15" s="202"/>
    </row>
    <row r="16" spans="1:14" ht="15">
      <c r="A16" s="184" t="s">
        <v>68</v>
      </c>
      <c r="B16" s="493">
        <f>+'NOMINA 2022 PLANTA'!L39</f>
        <v>1587000</v>
      </c>
      <c r="C16" s="494">
        <f>+'NOMINA 2022 PLANTA'!L80+'NOMINA 2022 PLANTA'!L71</f>
        <v>8594000</v>
      </c>
      <c r="D16" s="494">
        <f>+'NOMINA 2022 PLANTA'!L87+'NOMINA 2022 PLANTA'!L93+'NOMINA 2022 PLANTA'!L100</f>
        <v>2743000</v>
      </c>
      <c r="E16" s="495">
        <f t="shared" si="1"/>
        <v>12924000</v>
      </c>
      <c r="F16" s="493">
        <f>+'NOMINA 2022 PLANTA'!L9</f>
        <v>568000</v>
      </c>
      <c r="G16" s="496">
        <f>+'NOMINA 2022 PLANTA'!L29</f>
        <v>4503000</v>
      </c>
      <c r="H16" s="495">
        <f t="shared" si="2"/>
        <v>5071000</v>
      </c>
      <c r="I16" s="495">
        <f t="shared" si="3"/>
        <v>17995000</v>
      </c>
      <c r="J16" s="185" t="e">
        <f t="shared" si="4"/>
        <v>#REF!</v>
      </c>
      <c r="K16" s="178"/>
      <c r="L16" s="183"/>
      <c r="M16" s="179"/>
      <c r="N16" s="202"/>
    </row>
    <row r="17" spans="1:14" ht="15">
      <c r="A17" s="184" t="s">
        <v>69</v>
      </c>
      <c r="B17" s="493">
        <f>+'NOMINA 2022 PLANTA'!O39+'NOMINA 2022 PLANTA'!P39+'NOMINA 2022 PLANTA'!Q39</f>
        <v>36383000</v>
      </c>
      <c r="C17" s="494">
        <f>+'NOMINA 2022 PLANTA'!O80+'NOMINA 2022 PLANTA'!P80+'NOMINA 2022 PLANTA'!Q80+'NOMINA 2022 PLANTA'!Q71+'NOMINA 2022 PLANTA'!P71+'NOMINA 2022 PLANTA'!O71</f>
        <v>212558000</v>
      </c>
      <c r="D17" s="494">
        <f>+'NOMINA 2022 PLANTA'!O87+'NOMINA 2022 PLANTA'!P87+'NOMINA 2022 PLANTA'!Q87+'NOMINA 2022 PLANTA'!O93+'NOMINA 2022 PLANTA'!P93+'NOMINA 2022 PLANTA'!Q93+'NOMINA 2022 PLANTA'!O100+'NOMINA 2022 PLANTA'!P100+'NOMINA 2022 PLANTA'!Q100</f>
        <v>62505000</v>
      </c>
      <c r="E17" s="495">
        <f t="shared" si="1"/>
        <v>311446000</v>
      </c>
      <c r="F17" s="493">
        <f>+'NOMINA 2022 PLANTA'!O9+'NOMINA 2022 PLANTA'!P9+'NOMINA 2022 PLANTA'!Q9</f>
        <v>12234000</v>
      </c>
      <c r="G17" s="496">
        <f>+'NOMINA 2022 PLANTA'!O29+'NOMINA 2022 PLANTA'!P29+'NOMINA 2022 PLANTA'!Q29</f>
        <v>107292000</v>
      </c>
      <c r="H17" s="495">
        <f t="shared" si="2"/>
        <v>119526000</v>
      </c>
      <c r="I17" s="495">
        <f t="shared" si="3"/>
        <v>430972000</v>
      </c>
      <c r="J17" s="185" t="e">
        <f t="shared" si="4"/>
        <v>#REF!</v>
      </c>
      <c r="K17" s="178"/>
      <c r="L17" s="183"/>
      <c r="M17" s="179"/>
      <c r="N17" s="202"/>
    </row>
    <row r="18" spans="1:14" ht="15">
      <c r="A18" s="184" t="s">
        <v>70</v>
      </c>
      <c r="B18" s="493">
        <f>+'NOMINA 2022 PLANTA'!R39</f>
        <v>6608000</v>
      </c>
      <c r="C18" s="494">
        <f>+'NOMINA 2022 PLANTA'!R80+'NOMINA 2022 PLANTA'!R71</f>
        <v>35740000</v>
      </c>
      <c r="D18" s="494">
        <f>+'NOMINA 2022 PLANTA'!R87+'NOMINA 2022 PLANTA'!R93+'NOMINA 2022 PLANTA'!R100</f>
        <v>11424000</v>
      </c>
      <c r="E18" s="495">
        <f t="shared" si="1"/>
        <v>53772000</v>
      </c>
      <c r="F18" s="493">
        <f>+'NOMINA 2022 PLANTA'!R9</f>
        <v>2366000</v>
      </c>
      <c r="G18" s="496">
        <f>+'NOMINA 2022 PLANTA'!R29</f>
        <v>18653000</v>
      </c>
      <c r="H18" s="495">
        <f t="shared" si="2"/>
        <v>21019000</v>
      </c>
      <c r="I18" s="495">
        <f t="shared" si="3"/>
        <v>74791000</v>
      </c>
      <c r="J18" s="185" t="e">
        <f t="shared" si="4"/>
        <v>#REF!</v>
      </c>
      <c r="K18" s="178"/>
      <c r="L18" s="183"/>
      <c r="M18" s="179"/>
      <c r="N18" s="202"/>
    </row>
    <row r="19" spans="1:14" ht="15">
      <c r="A19" s="184" t="s">
        <v>71</v>
      </c>
      <c r="B19" s="493">
        <f>+'NOMINA 2022 PLANTA'!S39+'NOMINA 2022 PLANTA'!T39</f>
        <v>8259000</v>
      </c>
      <c r="C19" s="494">
        <f>+'NOMINA 2022 PLANTA'!T80+'NOMINA 2022 PLANTA'!S80+'NOMINA 2022 PLANTA'!S71+'NOMINA 2022 PLANTA'!T71</f>
        <v>44695000</v>
      </c>
      <c r="D19" s="494">
        <f>+'NOMINA 2022 PLANTA'!S87+'NOMINA 2022 PLANTA'!T87+'NOMINA 2022 PLANTA'!S93+'NOMINA 2022 PLANTA'!T93+'NOMINA 2022 PLANTA'!S100+'NOMINA 2022 PLANTA'!T100</f>
        <v>14279000</v>
      </c>
      <c r="E19" s="495">
        <f t="shared" si="1"/>
        <v>67233000</v>
      </c>
      <c r="F19" s="493">
        <f>+'NOMINA 2022 PLANTA'!S9+'NOMINA 2022 PLANTA'!T9</f>
        <v>2956000</v>
      </c>
      <c r="G19" s="496">
        <f>+'NOMINA 2022 PLANTA'!S29+'NOMINA 2022 PLANTA'!T29</f>
        <v>23309000</v>
      </c>
      <c r="H19" s="495">
        <f>SUM(F19:G19)</f>
        <v>26265000</v>
      </c>
      <c r="I19" s="495">
        <f t="shared" si="3"/>
        <v>93498000</v>
      </c>
      <c r="J19" s="185" t="e">
        <f t="shared" si="4"/>
        <v>#REF!</v>
      </c>
      <c r="K19" s="178"/>
      <c r="L19" s="183"/>
      <c r="M19" s="179"/>
      <c r="N19" s="202"/>
    </row>
    <row r="20" spans="1:13" ht="7.5" customHeight="1">
      <c r="A20" s="184"/>
      <c r="B20" s="493"/>
      <c r="C20" s="494"/>
      <c r="D20" s="494"/>
      <c r="E20" s="495"/>
      <c r="F20" s="493"/>
      <c r="G20" s="496"/>
      <c r="H20" s="495"/>
      <c r="I20" s="495"/>
      <c r="J20" s="185"/>
      <c r="K20" s="178"/>
      <c r="L20" s="179"/>
      <c r="M20" s="179"/>
    </row>
    <row r="21" spans="1:13" ht="15">
      <c r="A21" s="187" t="s">
        <v>45</v>
      </c>
      <c r="B21" s="497" t="e">
        <f>SUM(B22:B38)</f>
        <v>#REF!</v>
      </c>
      <c r="C21" s="498" t="e">
        <f>SUM(C22:C38)</f>
        <v>#REF!</v>
      </c>
      <c r="D21" s="498" t="e">
        <f>SUM(D22:D38)</f>
        <v>#REF!</v>
      </c>
      <c r="E21" s="499" t="e">
        <f>SUM(B21:D21)</f>
        <v>#REF!</v>
      </c>
      <c r="F21" s="497" t="e">
        <f>SUM(F22:F38)</f>
        <v>#REF!</v>
      </c>
      <c r="G21" s="500" t="e">
        <f>SUM(G22:G38)</f>
        <v>#REF!</v>
      </c>
      <c r="H21" s="499" t="e">
        <f>SUM(H22:H38)</f>
        <v>#REF!</v>
      </c>
      <c r="I21" s="499" t="e">
        <f t="shared" si="3"/>
        <v>#REF!</v>
      </c>
      <c r="J21" s="188" t="e">
        <f aca="true" t="shared" si="5" ref="J21:J38">+I21/$I$56</f>
        <v>#REF!</v>
      </c>
      <c r="K21" s="178"/>
      <c r="L21" s="189"/>
      <c r="M21" s="179"/>
    </row>
    <row r="22" spans="1:13" ht="15">
      <c r="A22" s="184" t="s">
        <v>244</v>
      </c>
      <c r="B22" s="493" t="e">
        <f>+#REF!</f>
        <v>#REF!</v>
      </c>
      <c r="C22" s="494" t="e">
        <f>+#REF!+#REF!</f>
        <v>#REF!</v>
      </c>
      <c r="D22" s="494" t="e">
        <f>+#REF!+#REF!+#REF!</f>
        <v>#REF!</v>
      </c>
      <c r="E22" s="495" t="e">
        <f aca="true" t="shared" si="6" ref="E22:E38">SUM(B22:D22)</f>
        <v>#REF!</v>
      </c>
      <c r="F22" s="493" t="e">
        <f>+#REF!</f>
        <v>#REF!</v>
      </c>
      <c r="G22" s="496" t="e">
        <f>+#REF!</f>
        <v>#REF!</v>
      </c>
      <c r="H22" s="495" t="e">
        <f aca="true" t="shared" si="7" ref="H22:H38">SUM(F22:G22)</f>
        <v>#REF!</v>
      </c>
      <c r="I22" s="495" t="e">
        <f t="shared" si="3"/>
        <v>#REF!</v>
      </c>
      <c r="J22" s="185" t="e">
        <f t="shared" si="5"/>
        <v>#REF!</v>
      </c>
      <c r="K22" s="178"/>
      <c r="L22" s="179"/>
      <c r="M22" s="179"/>
    </row>
    <row r="23" spans="1:13" ht="15">
      <c r="A23" s="184" t="s">
        <v>240</v>
      </c>
      <c r="B23" s="493"/>
      <c r="C23" s="494" t="e">
        <f>+#REF!+#REF!</f>
        <v>#REF!</v>
      </c>
      <c r="D23" s="494"/>
      <c r="E23" s="495" t="e">
        <f t="shared" si="6"/>
        <v>#REF!</v>
      </c>
      <c r="F23" s="493"/>
      <c r="G23" s="496"/>
      <c r="H23" s="495">
        <f t="shared" si="7"/>
        <v>0</v>
      </c>
      <c r="I23" s="495" t="e">
        <f t="shared" si="3"/>
        <v>#REF!</v>
      </c>
      <c r="J23" s="185" t="e">
        <f t="shared" si="5"/>
        <v>#REF!</v>
      </c>
      <c r="K23" s="178"/>
      <c r="L23" s="179"/>
      <c r="M23" s="179"/>
    </row>
    <row r="24" spans="1:13" ht="15">
      <c r="A24" s="184" t="s">
        <v>72</v>
      </c>
      <c r="B24" s="493"/>
      <c r="C24" s="494"/>
      <c r="D24" s="494"/>
      <c r="E24" s="495">
        <f t="shared" si="6"/>
        <v>0</v>
      </c>
      <c r="F24" s="493"/>
      <c r="G24" s="496"/>
      <c r="H24" s="495">
        <f t="shared" si="7"/>
        <v>0</v>
      </c>
      <c r="I24" s="495">
        <f t="shared" si="3"/>
        <v>0</v>
      </c>
      <c r="J24" s="185" t="e">
        <f t="shared" si="5"/>
        <v>#REF!</v>
      </c>
      <c r="K24" s="178"/>
      <c r="L24" s="179"/>
      <c r="M24" s="179"/>
    </row>
    <row r="25" spans="1:13" ht="15">
      <c r="A25" s="184" t="s">
        <v>73</v>
      </c>
      <c r="B25" s="493" t="e">
        <f>+#REF!</f>
        <v>#REF!</v>
      </c>
      <c r="C25" s="494" t="e">
        <f>+#REF!+#REF!</f>
        <v>#REF!</v>
      </c>
      <c r="D25" s="494" t="e">
        <f>+#REF!+#REF!</f>
        <v>#REF!</v>
      </c>
      <c r="E25" s="495" t="e">
        <f t="shared" si="6"/>
        <v>#REF!</v>
      </c>
      <c r="F25" s="493" t="e">
        <f>+#REF!</f>
        <v>#REF!</v>
      </c>
      <c r="G25" s="496" t="e">
        <f>+#REF!</f>
        <v>#REF!</v>
      </c>
      <c r="H25" s="495" t="e">
        <f t="shared" si="7"/>
        <v>#REF!</v>
      </c>
      <c r="I25" s="495" t="e">
        <f t="shared" si="3"/>
        <v>#REF!</v>
      </c>
      <c r="J25" s="185" t="e">
        <f t="shared" si="5"/>
        <v>#REF!</v>
      </c>
      <c r="K25" s="178"/>
      <c r="L25" s="179"/>
      <c r="M25" s="179"/>
    </row>
    <row r="26" spans="1:13" ht="15">
      <c r="A26" s="184" t="s">
        <v>29</v>
      </c>
      <c r="B26" s="493"/>
      <c r="C26" s="494" t="e">
        <f>+#REF!</f>
        <v>#REF!</v>
      </c>
      <c r="D26" s="494"/>
      <c r="E26" s="495" t="e">
        <f t="shared" si="6"/>
        <v>#REF!</v>
      </c>
      <c r="F26" s="493"/>
      <c r="G26" s="496" t="e">
        <f>+#REF!</f>
        <v>#REF!</v>
      </c>
      <c r="H26" s="495" t="e">
        <f t="shared" si="7"/>
        <v>#REF!</v>
      </c>
      <c r="I26" s="495" t="e">
        <f t="shared" si="3"/>
        <v>#REF!</v>
      </c>
      <c r="J26" s="185" t="e">
        <f t="shared" si="5"/>
        <v>#REF!</v>
      </c>
      <c r="K26" s="178"/>
      <c r="L26" s="179"/>
      <c r="M26" s="179"/>
    </row>
    <row r="27" spans="1:13" ht="15">
      <c r="A27" s="184" t="s">
        <v>30</v>
      </c>
      <c r="B27" s="493" t="e">
        <f>+#REF!</f>
        <v>#REF!</v>
      </c>
      <c r="C27" s="494" t="e">
        <f>+#REF!+#REF!</f>
        <v>#REF!</v>
      </c>
      <c r="D27" s="494" t="e">
        <f>+#REF!+#REF!+#REF!</f>
        <v>#REF!</v>
      </c>
      <c r="E27" s="495" t="e">
        <f t="shared" si="6"/>
        <v>#REF!</v>
      </c>
      <c r="F27" s="493" t="e">
        <f>+#REF!</f>
        <v>#REF!</v>
      </c>
      <c r="G27" s="496" t="e">
        <f>+#REF!</f>
        <v>#REF!</v>
      </c>
      <c r="H27" s="495" t="e">
        <f t="shared" si="7"/>
        <v>#REF!</v>
      </c>
      <c r="I27" s="495" t="e">
        <f t="shared" si="3"/>
        <v>#REF!</v>
      </c>
      <c r="J27" s="185" t="e">
        <f t="shared" si="5"/>
        <v>#REF!</v>
      </c>
      <c r="K27" s="178"/>
      <c r="L27" s="179"/>
      <c r="M27" s="179"/>
    </row>
    <row r="28" spans="1:13" ht="15">
      <c r="A28" s="184" t="s">
        <v>31</v>
      </c>
      <c r="B28" s="493" t="e">
        <f>+#REF!+#REF!</f>
        <v>#REF!</v>
      </c>
      <c r="C28" s="494" t="e">
        <f>+#REF!+#REF!+#REF!+#REF!</f>
        <v>#REF!</v>
      </c>
      <c r="D28" s="494" t="e">
        <f>+#REF!+#REF!+#REF!+#REF!+#REF!</f>
        <v>#REF!</v>
      </c>
      <c r="E28" s="495" t="e">
        <f t="shared" si="6"/>
        <v>#REF!</v>
      </c>
      <c r="F28" s="493" t="e">
        <f>+#REF!</f>
        <v>#REF!</v>
      </c>
      <c r="G28" s="496" t="e">
        <f>+#REF!+#REF!</f>
        <v>#REF!</v>
      </c>
      <c r="H28" s="495" t="e">
        <f t="shared" si="7"/>
        <v>#REF!</v>
      </c>
      <c r="I28" s="495" t="e">
        <f t="shared" si="3"/>
        <v>#REF!</v>
      </c>
      <c r="J28" s="185" t="e">
        <f t="shared" si="5"/>
        <v>#REF!</v>
      </c>
      <c r="K28" s="178"/>
      <c r="L28" s="179"/>
      <c r="M28" s="179"/>
    </row>
    <row r="29" spans="1:13" ht="15">
      <c r="A29" s="184" t="s">
        <v>74</v>
      </c>
      <c r="B29" s="493"/>
      <c r="C29" s="494"/>
      <c r="D29" s="494">
        <v>0</v>
      </c>
      <c r="E29" s="495">
        <f t="shared" si="6"/>
        <v>0</v>
      </c>
      <c r="F29" s="493"/>
      <c r="G29" s="496"/>
      <c r="H29" s="495">
        <f t="shared" si="7"/>
        <v>0</v>
      </c>
      <c r="I29" s="495">
        <f t="shared" si="3"/>
        <v>0</v>
      </c>
      <c r="J29" s="185" t="e">
        <f t="shared" si="5"/>
        <v>#REF!</v>
      </c>
      <c r="K29" s="178"/>
      <c r="L29" s="179"/>
      <c r="M29" s="179"/>
    </row>
    <row r="30" spans="1:13" ht="15">
      <c r="A30" s="184" t="s">
        <v>32</v>
      </c>
      <c r="B30" s="493" t="e">
        <f>+#REF!</f>
        <v>#REF!</v>
      </c>
      <c r="C30" s="494" t="e">
        <f>+#REF!+#REF!</f>
        <v>#REF!</v>
      </c>
      <c r="D30" s="494" t="e">
        <f>+#REF!+#REF!</f>
        <v>#REF!</v>
      </c>
      <c r="E30" s="495" t="e">
        <f t="shared" si="6"/>
        <v>#REF!</v>
      </c>
      <c r="F30" s="493" t="e">
        <f>+#REF!</f>
        <v>#REF!</v>
      </c>
      <c r="G30" s="496" t="e">
        <f>+#REF!</f>
        <v>#REF!</v>
      </c>
      <c r="H30" s="495" t="e">
        <f t="shared" si="7"/>
        <v>#REF!</v>
      </c>
      <c r="I30" s="495" t="e">
        <f t="shared" si="3"/>
        <v>#REF!</v>
      </c>
      <c r="J30" s="185" t="e">
        <f t="shared" si="5"/>
        <v>#REF!</v>
      </c>
      <c r="K30" s="178"/>
      <c r="L30" s="179"/>
      <c r="M30" s="179"/>
    </row>
    <row r="31" spans="1:13" ht="15">
      <c r="A31" s="184" t="s">
        <v>183</v>
      </c>
      <c r="B31" s="493" t="e">
        <f>+#REF!</f>
        <v>#REF!</v>
      </c>
      <c r="C31" s="494" t="e">
        <f>+#REF!+#REF!</f>
        <v>#REF!</v>
      </c>
      <c r="D31" s="494" t="e">
        <f>+#REF!+#REF!</f>
        <v>#REF!</v>
      </c>
      <c r="E31" s="495" t="e">
        <f t="shared" si="6"/>
        <v>#REF!</v>
      </c>
      <c r="F31" s="493" t="e">
        <f>+#REF!</f>
        <v>#REF!</v>
      </c>
      <c r="G31" s="496" t="e">
        <f>+#REF!</f>
        <v>#REF!</v>
      </c>
      <c r="H31" s="495" t="e">
        <f t="shared" si="7"/>
        <v>#REF!</v>
      </c>
      <c r="I31" s="495" t="e">
        <f t="shared" si="3"/>
        <v>#REF!</v>
      </c>
      <c r="J31" s="185" t="e">
        <f t="shared" si="5"/>
        <v>#REF!</v>
      </c>
      <c r="K31" s="178"/>
      <c r="L31" s="179"/>
      <c r="M31" s="179"/>
    </row>
    <row r="32" spans="1:13" ht="15">
      <c r="A32" s="184" t="s">
        <v>75</v>
      </c>
      <c r="B32" s="493" t="e">
        <f>+#REF!</f>
        <v>#REF!</v>
      </c>
      <c r="C32" s="494" t="e">
        <f>+#REF!+#REF!</f>
        <v>#REF!</v>
      </c>
      <c r="D32" s="494" t="e">
        <f>+#REF!+#REF!</f>
        <v>#REF!</v>
      </c>
      <c r="E32" s="495" t="e">
        <f t="shared" si="6"/>
        <v>#REF!</v>
      </c>
      <c r="F32" s="493" t="e">
        <f>+#REF!</f>
        <v>#REF!</v>
      </c>
      <c r="G32" s="496" t="e">
        <f>+#REF!</f>
        <v>#REF!</v>
      </c>
      <c r="H32" s="495" t="e">
        <f t="shared" si="7"/>
        <v>#REF!</v>
      </c>
      <c r="I32" s="495" t="e">
        <f t="shared" si="3"/>
        <v>#REF!</v>
      </c>
      <c r="J32" s="185" t="e">
        <f t="shared" si="5"/>
        <v>#REF!</v>
      </c>
      <c r="K32" s="178"/>
      <c r="L32" s="179"/>
      <c r="M32" s="179"/>
    </row>
    <row r="33" spans="1:13" ht="15">
      <c r="A33" s="184" t="s">
        <v>76</v>
      </c>
      <c r="B33" s="493"/>
      <c r="C33" s="494"/>
      <c r="D33" s="494"/>
      <c r="E33" s="495">
        <f t="shared" si="6"/>
        <v>0</v>
      </c>
      <c r="F33" s="493"/>
      <c r="G33" s="496" t="e">
        <f>+#REF!</f>
        <v>#REF!</v>
      </c>
      <c r="H33" s="495" t="e">
        <f t="shared" si="7"/>
        <v>#REF!</v>
      </c>
      <c r="I33" s="495" t="e">
        <f t="shared" si="3"/>
        <v>#REF!</v>
      </c>
      <c r="J33" s="185" t="e">
        <f t="shared" si="5"/>
        <v>#REF!</v>
      </c>
      <c r="K33" s="178"/>
      <c r="L33" s="179"/>
      <c r="M33" s="179"/>
    </row>
    <row r="34" spans="1:13" ht="15">
      <c r="A34" s="184" t="s">
        <v>77</v>
      </c>
      <c r="B34" s="493"/>
      <c r="C34" s="494" t="e">
        <f>+#REF!</f>
        <v>#REF!</v>
      </c>
      <c r="D34" s="494"/>
      <c r="E34" s="495" t="e">
        <f t="shared" si="6"/>
        <v>#REF!</v>
      </c>
      <c r="F34" s="493" t="e">
        <f>+#REF!</f>
        <v>#REF!</v>
      </c>
      <c r="G34" s="496" t="e">
        <f>+#REF!</f>
        <v>#REF!</v>
      </c>
      <c r="H34" s="495" t="e">
        <f t="shared" si="7"/>
        <v>#REF!</v>
      </c>
      <c r="I34" s="495" t="e">
        <f t="shared" si="3"/>
        <v>#REF!</v>
      </c>
      <c r="J34" s="185" t="e">
        <f t="shared" si="5"/>
        <v>#REF!</v>
      </c>
      <c r="K34" s="178"/>
      <c r="L34" s="179"/>
      <c r="M34" s="179"/>
    </row>
    <row r="35" spans="1:13" ht="15">
      <c r="A35" s="184" t="s">
        <v>95</v>
      </c>
      <c r="B35" s="493"/>
      <c r="C35" s="494"/>
      <c r="D35" s="494"/>
      <c r="E35" s="495">
        <f t="shared" si="6"/>
        <v>0</v>
      </c>
      <c r="F35" s="493"/>
      <c r="G35" s="496"/>
      <c r="H35" s="495">
        <f t="shared" si="7"/>
        <v>0</v>
      </c>
      <c r="I35" s="495">
        <f t="shared" si="3"/>
        <v>0</v>
      </c>
      <c r="J35" s="185" t="e">
        <f t="shared" si="5"/>
        <v>#REF!</v>
      </c>
      <c r="K35" s="178"/>
      <c r="L35" s="179"/>
      <c r="M35" s="179"/>
    </row>
    <row r="36" spans="1:13" ht="15">
      <c r="A36" s="184" t="s">
        <v>184</v>
      </c>
      <c r="B36" s="493" t="e">
        <f>+#REF!</f>
        <v>#REF!</v>
      </c>
      <c r="C36" s="494" t="e">
        <f>+#REF!+#REF!</f>
        <v>#REF!</v>
      </c>
      <c r="D36" s="494" t="e">
        <f>+#REF!+#REF!+#REF!</f>
        <v>#REF!</v>
      </c>
      <c r="E36" s="495" t="e">
        <f t="shared" si="6"/>
        <v>#REF!</v>
      </c>
      <c r="F36" s="493"/>
      <c r="G36" s="496" t="e">
        <f>+#REF!</f>
        <v>#REF!</v>
      </c>
      <c r="H36" s="495" t="e">
        <f t="shared" si="7"/>
        <v>#REF!</v>
      </c>
      <c r="I36" s="495" t="e">
        <f t="shared" si="3"/>
        <v>#REF!</v>
      </c>
      <c r="J36" s="185" t="e">
        <f t="shared" si="5"/>
        <v>#REF!</v>
      </c>
      <c r="K36" s="178"/>
      <c r="L36" s="179"/>
      <c r="M36" s="179"/>
    </row>
    <row r="37" spans="1:13" ht="15">
      <c r="A37" s="184" t="s">
        <v>46</v>
      </c>
      <c r="B37" s="493"/>
      <c r="C37" s="494"/>
      <c r="D37" s="494"/>
      <c r="E37" s="495">
        <f t="shared" si="6"/>
        <v>0</v>
      </c>
      <c r="F37" s="493" t="e">
        <f>+#REF!</f>
        <v>#REF!</v>
      </c>
      <c r="G37" s="496"/>
      <c r="H37" s="495" t="e">
        <f t="shared" si="7"/>
        <v>#REF!</v>
      </c>
      <c r="I37" s="495" t="e">
        <f t="shared" si="3"/>
        <v>#REF!</v>
      </c>
      <c r="J37" s="185" t="e">
        <f t="shared" si="5"/>
        <v>#REF!</v>
      </c>
      <c r="K37" s="178"/>
      <c r="L37" s="179"/>
      <c r="M37" s="179"/>
    </row>
    <row r="38" spans="1:13" ht="15">
      <c r="A38" s="184" t="s">
        <v>78</v>
      </c>
      <c r="B38" s="493"/>
      <c r="C38" s="494"/>
      <c r="D38" s="494"/>
      <c r="E38" s="495">
        <f t="shared" si="6"/>
        <v>0</v>
      </c>
      <c r="F38" s="493" t="e">
        <f>+#REF!</f>
        <v>#REF!</v>
      </c>
      <c r="G38" s="496"/>
      <c r="H38" s="495" t="e">
        <f t="shared" si="7"/>
        <v>#REF!</v>
      </c>
      <c r="I38" s="495" t="e">
        <f t="shared" si="3"/>
        <v>#REF!</v>
      </c>
      <c r="J38" s="185" t="e">
        <f t="shared" si="5"/>
        <v>#REF!</v>
      </c>
      <c r="K38" s="178"/>
      <c r="L38" s="179"/>
      <c r="M38" s="179"/>
    </row>
    <row r="39" spans="1:13" ht="7.5" customHeight="1">
      <c r="A39" s="184"/>
      <c r="B39" s="493"/>
      <c r="C39" s="494"/>
      <c r="D39" s="494"/>
      <c r="E39" s="495"/>
      <c r="F39" s="493"/>
      <c r="G39" s="496"/>
      <c r="H39" s="495"/>
      <c r="I39" s="495"/>
      <c r="J39" s="185"/>
      <c r="K39" s="178"/>
      <c r="L39" s="179"/>
      <c r="M39" s="179"/>
    </row>
    <row r="40" spans="1:13" ht="15">
      <c r="A40" s="187" t="s">
        <v>80</v>
      </c>
      <c r="B40" s="497" t="e">
        <f>SUM(B41:B46)</f>
        <v>#REF!</v>
      </c>
      <c r="C40" s="498" t="e">
        <f>SUM(C41:C46)</f>
        <v>#REF!</v>
      </c>
      <c r="D40" s="498" t="e">
        <f>SUM(D41:D46)</f>
        <v>#REF!</v>
      </c>
      <c r="E40" s="499" t="e">
        <f aca="true" t="shared" si="8" ref="E40:E46">SUM(B40:D40)</f>
        <v>#REF!</v>
      </c>
      <c r="F40" s="497">
        <f>SUM(F41:F46)</f>
        <v>0</v>
      </c>
      <c r="G40" s="498">
        <f>SUM(G41:G46)</f>
        <v>0</v>
      </c>
      <c r="H40" s="501">
        <f>SUM(H41:H46)</f>
        <v>0</v>
      </c>
      <c r="I40" s="499" t="e">
        <f aca="true" t="shared" si="9" ref="I40:I46">+E40+H40</f>
        <v>#REF!</v>
      </c>
      <c r="J40" s="188" t="e">
        <f>+I40/$I$56</f>
        <v>#REF!</v>
      </c>
      <c r="K40" s="178"/>
      <c r="L40" s="179"/>
      <c r="M40" s="179"/>
    </row>
    <row r="41" spans="1:13" ht="15">
      <c r="A41" s="184" t="s">
        <v>96</v>
      </c>
      <c r="B41" s="493"/>
      <c r="C41" s="494" t="e">
        <f>+#REF!+#REF!</f>
        <v>#REF!</v>
      </c>
      <c r="D41" s="494">
        <v>0</v>
      </c>
      <c r="E41" s="495" t="e">
        <f t="shared" si="8"/>
        <v>#REF!</v>
      </c>
      <c r="F41" s="493">
        <v>0</v>
      </c>
      <c r="G41" s="496">
        <v>0</v>
      </c>
      <c r="H41" s="495">
        <f>SUM(F41:G41)</f>
        <v>0</v>
      </c>
      <c r="I41" s="495" t="e">
        <f t="shared" si="9"/>
        <v>#REF!</v>
      </c>
      <c r="J41" s="185" t="e">
        <f>+I41/$I$56</f>
        <v>#REF!</v>
      </c>
      <c r="K41" s="178"/>
      <c r="L41" s="179"/>
      <c r="M41" s="179"/>
    </row>
    <row r="42" spans="1:13" ht="15">
      <c r="A42" s="184" t="s">
        <v>209</v>
      </c>
      <c r="B42" s="493"/>
      <c r="C42" s="494"/>
      <c r="D42" s="494" t="e">
        <f>+#REF!</f>
        <v>#REF!</v>
      </c>
      <c r="E42" s="495" t="e">
        <f t="shared" si="8"/>
        <v>#REF!</v>
      </c>
      <c r="F42" s="493">
        <v>0</v>
      </c>
      <c r="G42" s="496">
        <v>0</v>
      </c>
      <c r="H42" s="495">
        <f>SUM(F42:G42)</f>
        <v>0</v>
      </c>
      <c r="I42" s="495" t="e">
        <f>+E42+H42</f>
        <v>#REF!</v>
      </c>
      <c r="J42" s="185" t="e">
        <f>+I42/$I$56</f>
        <v>#REF!</v>
      </c>
      <c r="K42" s="178"/>
      <c r="L42" s="179"/>
      <c r="M42" s="179"/>
    </row>
    <row r="43" spans="1:13" ht="15">
      <c r="A43" s="184" t="s">
        <v>259</v>
      </c>
      <c r="B43" s="493" t="e">
        <f>+#REF!</f>
        <v>#REF!</v>
      </c>
      <c r="C43" s="494"/>
      <c r="D43" s="494"/>
      <c r="E43" s="495" t="e">
        <f t="shared" si="8"/>
        <v>#REF!</v>
      </c>
      <c r="F43" s="493"/>
      <c r="G43" s="496"/>
      <c r="H43" s="495"/>
      <c r="I43" s="495" t="e">
        <f t="shared" si="9"/>
        <v>#REF!</v>
      </c>
      <c r="J43" s="185" t="e">
        <f>+I43/$I$56</f>
        <v>#REF!</v>
      </c>
      <c r="K43" s="178"/>
      <c r="L43" s="179"/>
      <c r="M43" s="179"/>
    </row>
    <row r="44" spans="1:13" ht="15" hidden="1">
      <c r="A44" s="184" t="s">
        <v>117</v>
      </c>
      <c r="B44" s="493"/>
      <c r="C44" s="494"/>
      <c r="D44" s="494"/>
      <c r="E44" s="495">
        <f t="shared" si="8"/>
        <v>0</v>
      </c>
      <c r="F44" s="493"/>
      <c r="G44" s="496"/>
      <c r="H44" s="495"/>
      <c r="I44" s="495">
        <f t="shared" si="9"/>
        <v>0</v>
      </c>
      <c r="J44" s="185"/>
      <c r="K44" s="178"/>
      <c r="L44" s="179"/>
      <c r="M44" s="179"/>
    </row>
    <row r="45" spans="1:13" ht="15" hidden="1">
      <c r="A45" s="184" t="s">
        <v>118</v>
      </c>
      <c r="B45" s="493"/>
      <c r="C45" s="494"/>
      <c r="D45" s="494"/>
      <c r="E45" s="495">
        <f t="shared" si="8"/>
        <v>0</v>
      </c>
      <c r="F45" s="493"/>
      <c r="G45" s="496"/>
      <c r="H45" s="495"/>
      <c r="I45" s="495">
        <f t="shared" si="9"/>
        <v>0</v>
      </c>
      <c r="J45" s="185"/>
      <c r="K45" s="178"/>
      <c r="L45" s="179"/>
      <c r="M45" s="179"/>
    </row>
    <row r="46" spans="1:13" ht="15" hidden="1">
      <c r="A46" s="184" t="s">
        <v>119</v>
      </c>
      <c r="B46" s="493"/>
      <c r="C46" s="494"/>
      <c r="D46" s="494"/>
      <c r="E46" s="495">
        <f t="shared" si="8"/>
        <v>0</v>
      </c>
      <c r="F46" s="493"/>
      <c r="G46" s="496"/>
      <c r="H46" s="495"/>
      <c r="I46" s="495">
        <f t="shared" si="9"/>
        <v>0</v>
      </c>
      <c r="J46" s="185"/>
      <c r="K46" s="178"/>
      <c r="L46" s="179"/>
      <c r="M46" s="179"/>
    </row>
    <row r="47" spans="1:13" ht="7.5" customHeight="1">
      <c r="A47" s="184"/>
      <c r="B47" s="493"/>
      <c r="C47" s="494"/>
      <c r="D47" s="494"/>
      <c r="E47" s="495"/>
      <c r="F47" s="493"/>
      <c r="G47" s="496"/>
      <c r="H47" s="495"/>
      <c r="I47" s="495"/>
      <c r="J47" s="185"/>
      <c r="K47" s="178"/>
      <c r="L47" s="179"/>
      <c r="M47" s="179"/>
    </row>
    <row r="48" spans="1:13" ht="15">
      <c r="A48" s="190" t="s">
        <v>120</v>
      </c>
      <c r="B48" s="482" t="e">
        <f>+B8+B21+B40</f>
        <v>#REF!</v>
      </c>
      <c r="C48" s="502" t="e">
        <f>+C8+C21+C40</f>
        <v>#REF!</v>
      </c>
      <c r="D48" s="502" t="e">
        <f>+D8+D21+D40</f>
        <v>#REF!</v>
      </c>
      <c r="E48" s="503" t="e">
        <f>SUM(B48:D48)</f>
        <v>#REF!</v>
      </c>
      <c r="F48" s="482" t="e">
        <f>+F8+F21+F40</f>
        <v>#REF!</v>
      </c>
      <c r="G48" s="504" t="e">
        <f>+G8+G21+G40</f>
        <v>#REF!</v>
      </c>
      <c r="H48" s="503" t="e">
        <f>+H8+H21+H40</f>
        <v>#REF!</v>
      </c>
      <c r="I48" s="503" t="e">
        <f>+H48+E48</f>
        <v>#REF!</v>
      </c>
      <c r="J48" s="191" t="e">
        <f>+I48/$I$56</f>
        <v>#REF!</v>
      </c>
      <c r="K48" s="178"/>
      <c r="L48" s="179"/>
      <c r="M48" s="179"/>
    </row>
    <row r="49" spans="1:13" ht="7.5" customHeight="1">
      <c r="A49" s="184"/>
      <c r="B49" s="493"/>
      <c r="C49" s="505"/>
      <c r="D49" s="505"/>
      <c r="E49" s="495"/>
      <c r="F49" s="493"/>
      <c r="G49" s="496"/>
      <c r="H49" s="495"/>
      <c r="I49" s="495"/>
      <c r="J49" s="185"/>
      <c r="K49" s="178"/>
      <c r="L49" s="179"/>
      <c r="M49" s="179"/>
    </row>
    <row r="50" spans="1:13" ht="15">
      <c r="A50" s="187" t="s">
        <v>211</v>
      </c>
      <c r="B50" s="493">
        <v>0</v>
      </c>
      <c r="C50" s="505">
        <v>0</v>
      </c>
      <c r="D50" s="505">
        <v>0</v>
      </c>
      <c r="E50" s="495">
        <f>SUM(B50:D50)</f>
        <v>0</v>
      </c>
      <c r="F50" s="493" t="e">
        <f>+#REF!</f>
        <v>#REF!</v>
      </c>
      <c r="G50" s="496">
        <v>0</v>
      </c>
      <c r="H50" s="495" t="e">
        <f>SUM(F50:G50)</f>
        <v>#REF!</v>
      </c>
      <c r="I50" s="495" t="e">
        <f>+E50+H50</f>
        <v>#REF!</v>
      </c>
      <c r="J50" s="185" t="e">
        <f>+I50/$I$56</f>
        <v>#REF!</v>
      </c>
      <c r="K50" s="178"/>
      <c r="L50" s="179"/>
      <c r="M50" s="179"/>
    </row>
    <row r="51" spans="1:13" ht="7.5" customHeight="1">
      <c r="A51" s="184"/>
      <c r="B51" s="493"/>
      <c r="C51" s="505"/>
      <c r="D51" s="505"/>
      <c r="E51" s="495"/>
      <c r="F51" s="493"/>
      <c r="G51" s="496"/>
      <c r="H51" s="495"/>
      <c r="I51" s="495"/>
      <c r="J51" s="185"/>
      <c r="K51" s="178"/>
      <c r="L51" s="179"/>
      <c r="M51" s="179"/>
    </row>
    <row r="52" spans="1:13" ht="15">
      <c r="A52" s="187" t="s">
        <v>121</v>
      </c>
      <c r="B52" s="493">
        <v>0</v>
      </c>
      <c r="C52" s="505">
        <v>0</v>
      </c>
      <c r="D52" s="505">
        <v>0</v>
      </c>
      <c r="E52" s="495">
        <f>SUM(B52:D52)</f>
        <v>0</v>
      </c>
      <c r="F52" s="493">
        <v>0</v>
      </c>
      <c r="G52" s="496">
        <v>0</v>
      </c>
      <c r="H52" s="495">
        <f>SUM(F52:G52)</f>
        <v>0</v>
      </c>
      <c r="I52" s="495"/>
      <c r="J52" s="185"/>
      <c r="K52" s="178"/>
      <c r="L52" s="179"/>
      <c r="M52" s="179"/>
    </row>
    <row r="53" spans="1:13" ht="7.5" customHeight="1" thickBot="1">
      <c r="A53" s="192"/>
      <c r="B53" s="506"/>
      <c r="C53" s="507"/>
      <c r="D53" s="507"/>
      <c r="E53" s="508"/>
      <c r="F53" s="506"/>
      <c r="G53" s="509"/>
      <c r="H53" s="508"/>
      <c r="I53" s="508"/>
      <c r="J53" s="193"/>
      <c r="K53" s="178"/>
      <c r="L53" s="179"/>
      <c r="M53" s="179"/>
    </row>
    <row r="54" spans="1:13" ht="15.75" thickBot="1">
      <c r="A54" s="194" t="s">
        <v>122</v>
      </c>
      <c r="B54" s="510" t="e">
        <f>+B48+B50+B52</f>
        <v>#REF!</v>
      </c>
      <c r="C54" s="511" t="e">
        <f>+C48+C50+C52</f>
        <v>#REF!</v>
      </c>
      <c r="D54" s="510" t="e">
        <f>+D48+D50+D52</f>
        <v>#REF!</v>
      </c>
      <c r="E54" s="510" t="e">
        <f>SUM(B54:D54)</f>
        <v>#REF!</v>
      </c>
      <c r="F54" s="510" t="e">
        <f>+F48+F50+F52</f>
        <v>#REF!</v>
      </c>
      <c r="G54" s="511" t="e">
        <f>+G48+G50+G52</f>
        <v>#REF!</v>
      </c>
      <c r="H54" s="510" t="e">
        <f>+H48+H50+H52</f>
        <v>#REF!</v>
      </c>
      <c r="I54" s="510" t="e">
        <f>+H54+E54</f>
        <v>#REF!</v>
      </c>
      <c r="J54" s="195" t="e">
        <f>+I54/I56</f>
        <v>#REF!</v>
      </c>
      <c r="K54" s="178"/>
      <c r="L54" s="189"/>
      <c r="M54" s="189"/>
    </row>
    <row r="55" spans="1:13" ht="15.75" thickBot="1">
      <c r="A55" s="196" t="s">
        <v>123</v>
      </c>
      <c r="B55" s="512"/>
      <c r="C55" s="513"/>
      <c r="D55" s="514"/>
      <c r="E55" s="515"/>
      <c r="F55" s="516"/>
      <c r="G55" s="517"/>
      <c r="H55" s="515"/>
      <c r="I55" s="518" t="e">
        <f>#REF!-'CONSOLIDADO ANEXO 2'!I54</f>
        <v>#REF!</v>
      </c>
      <c r="J55" s="197" t="e">
        <f>+I55/I56</f>
        <v>#REF!</v>
      </c>
      <c r="K55" s="178"/>
      <c r="L55" s="189"/>
      <c r="M55" s="189"/>
    </row>
    <row r="56" spans="1:13" ht="15.75" thickBot="1">
      <c r="A56" s="194" t="s">
        <v>124</v>
      </c>
      <c r="B56" s="519"/>
      <c r="C56" s="520"/>
      <c r="D56" s="521"/>
      <c r="E56" s="522"/>
      <c r="F56" s="522"/>
      <c r="G56" s="523"/>
      <c r="H56" s="522"/>
      <c r="I56" s="510" t="e">
        <f>+I54+I55</f>
        <v>#REF!</v>
      </c>
      <c r="J56" s="197" t="e">
        <f>+J54+J55</f>
        <v>#REF!</v>
      </c>
      <c r="K56" s="178"/>
      <c r="L56" s="189"/>
      <c r="M56" s="189"/>
    </row>
    <row r="57" spans="1:13" ht="15">
      <c r="A57" s="183"/>
      <c r="B57" s="378"/>
      <c r="C57" s="378"/>
      <c r="D57" s="378"/>
      <c r="E57" s="378"/>
      <c r="F57" s="378"/>
      <c r="G57" s="378"/>
      <c r="H57" s="378"/>
      <c r="I57" s="378"/>
      <c r="J57" s="198"/>
      <c r="K57" s="178"/>
      <c r="L57" s="179"/>
      <c r="M57" s="179"/>
    </row>
    <row r="58" spans="1:13" ht="15">
      <c r="A58" s="183"/>
      <c r="B58" s="378"/>
      <c r="C58" s="378"/>
      <c r="D58" s="378"/>
      <c r="E58" s="378"/>
      <c r="F58" s="378"/>
      <c r="G58" s="378"/>
      <c r="H58" s="378"/>
      <c r="I58" s="378"/>
      <c r="J58" s="199"/>
      <c r="K58" s="178"/>
      <c r="L58" s="179"/>
      <c r="M58" s="179"/>
    </row>
    <row r="59" spans="1:13" ht="15">
      <c r="A59" s="183"/>
      <c r="B59" s="378"/>
      <c r="C59" s="378"/>
      <c r="D59" s="378"/>
      <c r="E59" s="378"/>
      <c r="F59" s="378"/>
      <c r="G59" s="378"/>
      <c r="H59" s="378"/>
      <c r="I59" s="378"/>
      <c r="J59" s="199"/>
      <c r="K59" s="178"/>
      <c r="L59" s="179"/>
      <c r="M59" s="179"/>
    </row>
    <row r="60" spans="1:13" ht="15">
      <c r="A60" s="183"/>
      <c r="B60" s="378"/>
      <c r="C60" s="378"/>
      <c r="D60" s="378"/>
      <c r="E60" s="378"/>
      <c r="F60" s="378"/>
      <c r="G60" s="378"/>
      <c r="H60" s="378"/>
      <c r="I60" s="378"/>
      <c r="J60" s="199"/>
      <c r="K60" s="178"/>
      <c r="L60" s="179"/>
      <c r="M60" s="179"/>
    </row>
    <row r="61" spans="1:13" ht="15">
      <c r="A61" s="183"/>
      <c r="B61" s="378"/>
      <c r="C61" s="378"/>
      <c r="D61" s="378"/>
      <c r="E61" s="378"/>
      <c r="F61" s="378"/>
      <c r="G61" s="378"/>
      <c r="H61" s="378"/>
      <c r="I61" s="378"/>
      <c r="J61" s="199"/>
      <c r="K61" s="178"/>
      <c r="L61" s="179"/>
      <c r="M61" s="179"/>
    </row>
  </sheetData>
  <sheetProtection/>
  <mergeCells count="9">
    <mergeCell ref="A1:J1"/>
    <mergeCell ref="A2:J2"/>
    <mergeCell ref="A3:J3"/>
    <mergeCell ref="I6:I7"/>
    <mergeCell ref="A6:A7"/>
    <mergeCell ref="A4:J4"/>
    <mergeCell ref="B6:E6"/>
    <mergeCell ref="H6:H7"/>
    <mergeCell ref="F6:G6"/>
  </mergeCells>
  <printOptions horizontalCentered="1"/>
  <pageMargins left="0.1968503937007874" right="0.1968503937007874" top="0.3937007874015748" bottom="0.3937007874015748" header="0.31496062992125984" footer="0.31496062992125984"/>
  <pageSetup horizontalDpi="1200" verticalDpi="12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7"/>
  <sheetViews>
    <sheetView zoomScale="90" zoomScaleNormal="90" zoomScalePageLayoutView="0" workbookViewId="0" topLeftCell="A1">
      <selection activeCell="E9" sqref="E9:E17"/>
    </sheetView>
  </sheetViews>
  <sheetFormatPr defaultColWidth="11.421875" defaultRowHeight="15"/>
  <cols>
    <col min="1" max="1" width="11.421875" style="218" customWidth="1"/>
    <col min="2" max="2" width="44.28125" style="218" customWidth="1"/>
    <col min="3" max="4" width="18.28125" style="218" customWidth="1"/>
    <col min="5" max="5" width="16.8515625" style="220" customWidth="1"/>
    <col min="6" max="6" width="13.7109375" style="218" bestFit="1" customWidth="1"/>
    <col min="7" max="7" width="13.8515625" style="218" bestFit="1" customWidth="1"/>
    <col min="8" max="8" width="13.7109375" style="218" customWidth="1"/>
    <col min="9" max="9" width="12.421875" style="218" bestFit="1" customWidth="1"/>
    <col min="10" max="16384" width="11.421875" style="218" customWidth="1"/>
  </cols>
  <sheetData>
    <row r="2" spans="2:5" ht="15">
      <c r="B2" s="679" t="s">
        <v>89</v>
      </c>
      <c r="C2" s="679"/>
      <c r="D2" s="679"/>
      <c r="E2" s="679"/>
    </row>
    <row r="3" spans="2:5" ht="15">
      <c r="B3" s="679" t="s">
        <v>212</v>
      </c>
      <c r="C3" s="679"/>
      <c r="D3" s="679"/>
      <c r="E3" s="679"/>
    </row>
    <row r="4" spans="2:5" ht="15">
      <c r="B4" s="679" t="s">
        <v>278</v>
      </c>
      <c r="C4" s="679"/>
      <c r="D4" s="679"/>
      <c r="E4" s="679"/>
    </row>
    <row r="5" spans="2:5" ht="15">
      <c r="B5" s="679" t="s">
        <v>49</v>
      </c>
      <c r="C5" s="679"/>
      <c r="D5" s="679"/>
      <c r="E5" s="679"/>
    </row>
    <row r="6" spans="2:5" ht="15">
      <c r="B6" s="679" t="s">
        <v>90</v>
      </c>
      <c r="C6" s="679"/>
      <c r="D6" s="679"/>
      <c r="E6" s="679"/>
    </row>
    <row r="7" ht="15.75" thickBot="1">
      <c r="E7" s="222"/>
    </row>
    <row r="8" spans="2:5" ht="31.5" thickBot="1">
      <c r="B8" s="203" t="s">
        <v>50</v>
      </c>
      <c r="C8" s="204" t="s">
        <v>394</v>
      </c>
      <c r="D8" s="205" t="s">
        <v>291</v>
      </c>
      <c r="E8" s="206" t="s">
        <v>142</v>
      </c>
    </row>
    <row r="9" spans="2:10" ht="15">
      <c r="B9" s="207" t="s">
        <v>54</v>
      </c>
      <c r="C9" s="208" t="e">
        <f>SUM(C10:C13)</f>
        <v>#REF!</v>
      </c>
      <c r="D9" s="209">
        <f>SUM(D10:D13)</f>
        <v>10672638758.05</v>
      </c>
      <c r="E9" s="585" t="e">
        <f aca="true" t="shared" si="0" ref="E9:E17">(C9-D9)/D9</f>
        <v>#REF!</v>
      </c>
      <c r="F9" s="219"/>
      <c r="G9" s="219"/>
      <c r="I9" s="219"/>
      <c r="J9" s="219"/>
    </row>
    <row r="10" spans="2:10" ht="15">
      <c r="B10" s="210" t="s">
        <v>55</v>
      </c>
      <c r="C10" s="211">
        <f>+'RESUMEN 2022'!D129</f>
        <v>6352062783.487215</v>
      </c>
      <c r="D10" s="212">
        <v>5533809852</v>
      </c>
      <c r="E10" s="586">
        <f t="shared" si="0"/>
        <v>0.1478643020579188</v>
      </c>
      <c r="F10" s="219"/>
      <c r="G10" s="219"/>
      <c r="I10" s="219"/>
      <c r="J10" s="219"/>
    </row>
    <row r="11" spans="2:10" ht="15">
      <c r="B11" s="210" t="s">
        <v>141</v>
      </c>
      <c r="C11" s="211">
        <f>+'RESUMEN 2022'!D130</f>
        <v>419478712.35375464</v>
      </c>
      <c r="D11" s="212">
        <v>113390147</v>
      </c>
      <c r="E11" s="586">
        <f t="shared" si="0"/>
        <v>2.6994282435647134</v>
      </c>
      <c r="F11" s="219"/>
      <c r="G11" s="219"/>
      <c r="I11" s="219"/>
      <c r="J11" s="219"/>
    </row>
    <row r="12" spans="2:10" ht="15">
      <c r="B12" s="210" t="s">
        <v>56</v>
      </c>
      <c r="C12" s="211">
        <f>+'INGRESOS Intereses mora'!F20</f>
        <v>308500000</v>
      </c>
      <c r="D12" s="212">
        <v>50000000</v>
      </c>
      <c r="E12" s="586">
        <f t="shared" si="0"/>
        <v>5.17</v>
      </c>
      <c r="F12" s="219"/>
      <c r="G12" s="219"/>
      <c r="I12" s="219"/>
      <c r="J12" s="219"/>
    </row>
    <row r="13" spans="2:10" ht="15">
      <c r="B13" s="210" t="s">
        <v>97</v>
      </c>
      <c r="C13" s="211" t="e">
        <f>+#REF!</f>
        <v>#REF!</v>
      </c>
      <c r="D13" s="212">
        <v>4975438759.05</v>
      </c>
      <c r="E13" s="586" t="e">
        <f t="shared" si="0"/>
        <v>#REF!</v>
      </c>
      <c r="F13" s="219"/>
      <c r="G13" s="219"/>
      <c r="I13" s="219"/>
      <c r="J13" s="219"/>
    </row>
    <row r="14" spans="2:10" ht="15">
      <c r="B14" s="213" t="s">
        <v>57</v>
      </c>
      <c r="C14" s="214" t="e">
        <f>+C15+C16</f>
        <v>#REF!</v>
      </c>
      <c r="D14" s="215">
        <f>+D15+D16</f>
        <v>75578375</v>
      </c>
      <c r="E14" s="587" t="e">
        <f t="shared" si="0"/>
        <v>#REF!</v>
      </c>
      <c r="F14" s="219"/>
      <c r="G14" s="219"/>
      <c r="I14" s="219"/>
      <c r="J14" s="219"/>
    </row>
    <row r="15" spans="2:10" ht="15">
      <c r="B15" s="210" t="s">
        <v>58</v>
      </c>
      <c r="C15" s="211" t="e">
        <f>+#REF!</f>
        <v>#REF!</v>
      </c>
      <c r="D15" s="212">
        <v>3000000</v>
      </c>
      <c r="E15" s="586" t="e">
        <f t="shared" si="0"/>
        <v>#REF!</v>
      </c>
      <c r="F15" s="219"/>
      <c r="G15" s="219"/>
      <c r="I15" s="219"/>
      <c r="J15" s="219"/>
    </row>
    <row r="16" spans="2:10" ht="15.75" thickBot="1">
      <c r="B16" s="210" t="s">
        <v>59</v>
      </c>
      <c r="C16" s="211">
        <f>+'INGRESOS Intereses finan'!H41</f>
        <v>232782621.32874382</v>
      </c>
      <c r="D16" s="212">
        <v>72578375</v>
      </c>
      <c r="E16" s="586">
        <f t="shared" si="0"/>
        <v>2.2073275452742473</v>
      </c>
      <c r="F16" s="219"/>
      <c r="G16" s="219"/>
      <c r="I16" s="219"/>
      <c r="J16" s="219"/>
    </row>
    <row r="17" spans="2:9" s="221" customFormat="1" ht="15.75" thickBot="1">
      <c r="B17" s="216" t="s">
        <v>60</v>
      </c>
      <c r="C17" s="217" t="e">
        <f>+C9+C14</f>
        <v>#REF!</v>
      </c>
      <c r="D17" s="217">
        <f>+D9+D14</f>
        <v>10748217133.05</v>
      </c>
      <c r="E17" s="588" t="e">
        <f t="shared" si="0"/>
        <v>#REF!</v>
      </c>
      <c r="F17" s="219"/>
      <c r="G17" s="219"/>
      <c r="H17" s="223"/>
      <c r="I17" s="219"/>
    </row>
    <row r="18" ht="15">
      <c r="D18" s="219"/>
    </row>
    <row r="19" spans="2:4" ht="15">
      <c r="B19" s="221" t="s">
        <v>91</v>
      </c>
      <c r="C19" s="219"/>
      <c r="D19" s="219"/>
    </row>
    <row r="20" ht="15">
      <c r="B20" s="218" t="s">
        <v>206</v>
      </c>
    </row>
    <row r="21" spans="2:4" ht="15">
      <c r="B21" s="218" t="s">
        <v>214</v>
      </c>
      <c r="D21" s="219"/>
    </row>
    <row r="23" ht="15">
      <c r="C23" s="219"/>
    </row>
    <row r="24" ht="15">
      <c r="C24" s="219"/>
    </row>
    <row r="27" spans="2:4" ht="15">
      <c r="B27" s="224"/>
      <c r="C27" s="219"/>
      <c r="D27" s="219"/>
    </row>
  </sheetData>
  <sheetProtection/>
  <mergeCells count="5">
    <mergeCell ref="B6:E6"/>
    <mergeCell ref="B2:E2"/>
    <mergeCell ref="B3:E3"/>
    <mergeCell ref="B4:E4"/>
    <mergeCell ref="B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5"/>
  <sheetViews>
    <sheetView zoomScale="90" zoomScaleNormal="90" zoomScaleSheetLayoutView="110" zoomScalePageLayoutView="0" workbookViewId="0" topLeftCell="A1">
      <selection activeCell="E16" sqref="E16"/>
    </sheetView>
  </sheetViews>
  <sheetFormatPr defaultColWidth="11.421875" defaultRowHeight="15"/>
  <cols>
    <col min="1" max="1" width="6.28125" style="225" customWidth="1"/>
    <col min="2" max="2" width="26.140625" style="225" customWidth="1"/>
    <col min="3" max="4" width="21.8515625" style="225" bestFit="1" customWidth="1"/>
    <col min="5" max="5" width="26.421875" style="225" customWidth="1"/>
    <col min="6" max="6" width="25.8515625" style="225" customWidth="1"/>
    <col min="7" max="7" width="20.28125" style="225" bestFit="1" customWidth="1"/>
    <col min="8" max="16384" width="11.421875" style="225" customWidth="1"/>
  </cols>
  <sheetData>
    <row r="2" spans="2:11" s="270" customFormat="1" ht="15" customHeight="1">
      <c r="B2" s="680" t="s">
        <v>100</v>
      </c>
      <c r="C2" s="680"/>
      <c r="D2" s="680"/>
      <c r="E2" s="680"/>
      <c r="F2" s="680"/>
      <c r="G2" s="269"/>
      <c r="H2" s="269"/>
      <c r="I2" s="269"/>
      <c r="J2" s="269"/>
      <c r="K2" s="269"/>
    </row>
    <row r="3" spans="2:11" s="270" customFormat="1" ht="15" customHeight="1">
      <c r="B3" s="680" t="s">
        <v>355</v>
      </c>
      <c r="C3" s="680"/>
      <c r="D3" s="680"/>
      <c r="E3" s="680"/>
      <c r="F3" s="680"/>
      <c r="G3" s="269"/>
      <c r="H3" s="269"/>
      <c r="I3" s="269"/>
      <c r="J3" s="269"/>
      <c r="K3" s="269"/>
    </row>
    <row r="4" spans="2:11" s="270" customFormat="1" ht="15">
      <c r="B4" s="680" t="s">
        <v>358</v>
      </c>
      <c r="C4" s="680"/>
      <c r="D4" s="680"/>
      <c r="E4" s="680"/>
      <c r="F4" s="680"/>
      <c r="G4" s="269"/>
      <c r="H4" s="269"/>
      <c r="I4" s="269"/>
      <c r="J4" s="269"/>
      <c r="K4" s="269"/>
    </row>
    <row r="6" spans="2:6" s="226" customFormat="1" ht="15">
      <c r="B6" s="227" t="s">
        <v>149</v>
      </c>
      <c r="C6" s="227" t="s">
        <v>317</v>
      </c>
      <c r="D6" s="227" t="s">
        <v>318</v>
      </c>
      <c r="E6" s="227" t="s">
        <v>319</v>
      </c>
      <c r="F6" s="227" t="s">
        <v>144</v>
      </c>
    </row>
    <row r="7" spans="2:6" ht="15">
      <c r="B7" s="228" t="s">
        <v>248</v>
      </c>
      <c r="C7" s="560">
        <v>120190</v>
      </c>
      <c r="D7" s="560">
        <v>115029.242017196</v>
      </c>
      <c r="E7" s="229">
        <f aca="true" t="shared" si="0" ref="E7:E16">+(D7-C7)/C7</f>
        <v>-0.0429383308328813</v>
      </c>
      <c r="F7" s="230" t="s">
        <v>173</v>
      </c>
    </row>
    <row r="8" spans="2:6" ht="15">
      <c r="B8" s="228" t="s">
        <v>249</v>
      </c>
      <c r="C8" s="560">
        <v>21.81</v>
      </c>
      <c r="D8" s="560">
        <v>21.9625</v>
      </c>
      <c r="E8" s="229">
        <f t="shared" si="0"/>
        <v>0.006992205410362213</v>
      </c>
      <c r="F8" s="230" t="s">
        <v>174</v>
      </c>
    </row>
    <row r="9" spans="2:6" ht="15">
      <c r="B9" s="228" t="s">
        <v>250</v>
      </c>
      <c r="C9" s="560">
        <v>608000</v>
      </c>
      <c r="D9" s="560">
        <v>623000</v>
      </c>
      <c r="E9" s="229">
        <f t="shared" si="0"/>
        <v>0.024671052631578948</v>
      </c>
      <c r="F9" s="230" t="s">
        <v>175</v>
      </c>
    </row>
    <row r="10" spans="2:7" ht="15">
      <c r="B10" s="228" t="s">
        <v>251</v>
      </c>
      <c r="C10" s="560">
        <f>+C7*C8</f>
        <v>2621343.9</v>
      </c>
      <c r="D10" s="560">
        <f>+D7*D8</f>
        <v>2526329.727802667</v>
      </c>
      <c r="E10" s="229">
        <f t="shared" si="0"/>
        <v>-0.036246359051680735</v>
      </c>
      <c r="F10" s="230" t="s">
        <v>174</v>
      </c>
      <c r="G10" s="231"/>
    </row>
    <row r="11" spans="2:7" ht="15">
      <c r="B11" s="228" t="s">
        <v>252</v>
      </c>
      <c r="C11" s="560">
        <f>+C10*11%</f>
        <v>288347.82899999997</v>
      </c>
      <c r="D11" s="560">
        <f>+D10*11%</f>
        <v>277896.27005829336</v>
      </c>
      <c r="E11" s="229">
        <f t="shared" si="0"/>
        <v>-0.03624635905168063</v>
      </c>
      <c r="F11" s="230" t="s">
        <v>174</v>
      </c>
      <c r="G11" s="232"/>
    </row>
    <row r="12" spans="2:6" ht="15">
      <c r="B12" s="228" t="s">
        <v>253</v>
      </c>
      <c r="C12" s="562">
        <f>+(C10-C11)*C9</f>
        <v>1418461611168</v>
      </c>
      <c r="D12" s="562">
        <f>+(D10-D11)*D9</f>
        <v>1400774044174.7446</v>
      </c>
      <c r="E12" s="229">
        <f>+(D12-C12)/C12</f>
        <v>-0.01246954225196898</v>
      </c>
      <c r="F12" s="230" t="s">
        <v>176</v>
      </c>
    </row>
    <row r="13" spans="2:6" ht="15">
      <c r="B13" s="228" t="s">
        <v>254</v>
      </c>
      <c r="C13" s="562">
        <f>+C12*1%</f>
        <v>14184616111.68</v>
      </c>
      <c r="D13" s="562">
        <f>+D12*1%</f>
        <v>14007740441.747446</v>
      </c>
      <c r="E13" s="229">
        <f>+(D13-C13)/C13</f>
        <v>-0.012469542251969019</v>
      </c>
      <c r="F13" s="230" t="s">
        <v>176</v>
      </c>
    </row>
    <row r="14" spans="2:7" ht="15">
      <c r="B14" s="228" t="s">
        <v>20</v>
      </c>
      <c r="C14" s="562">
        <v>5692639482.998345</v>
      </c>
      <c r="D14" s="562">
        <v>6352062783.487215</v>
      </c>
      <c r="E14" s="229">
        <f t="shared" si="0"/>
        <v>0.11583788196289355</v>
      </c>
      <c r="F14" s="230" t="s">
        <v>176</v>
      </c>
      <c r="G14" s="233"/>
    </row>
    <row r="15" spans="2:6" ht="15">
      <c r="B15" s="228" t="s">
        <v>255</v>
      </c>
      <c r="C15" s="561">
        <f>+C14/C13</f>
        <v>0.40132488875119227</v>
      </c>
      <c r="D15" s="561">
        <f>+D14/D13</f>
        <v>0.453468052888536</v>
      </c>
      <c r="E15" s="229">
        <f t="shared" si="0"/>
        <v>0.1299275614318321</v>
      </c>
      <c r="F15" s="230" t="s">
        <v>177</v>
      </c>
    </row>
    <row r="16" spans="2:6" ht="15">
      <c r="B16" s="228" t="s">
        <v>256</v>
      </c>
      <c r="C16" s="561">
        <f>100%-C15</f>
        <v>0.5986751112488078</v>
      </c>
      <c r="D16" s="561">
        <f>100%-D15</f>
        <v>0.546531947111464</v>
      </c>
      <c r="E16" s="229">
        <f t="shared" si="0"/>
        <v>-0.08709759794185465</v>
      </c>
      <c r="F16" s="230" t="s">
        <v>177</v>
      </c>
    </row>
    <row r="18" ht="15">
      <c r="E18" s="234"/>
    </row>
    <row r="19" ht="15">
      <c r="E19" s="235"/>
    </row>
    <row r="23" ht="15">
      <c r="D23" s="236"/>
    </row>
    <row r="24" ht="15">
      <c r="D24" s="236"/>
    </row>
    <row r="25" ht="15">
      <c r="D25" s="237"/>
    </row>
  </sheetData>
  <sheetProtection/>
  <mergeCells count="3">
    <mergeCell ref="B2:F2"/>
    <mergeCell ref="B4:F4"/>
    <mergeCell ref="B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35"/>
  <sheetViews>
    <sheetView view="pageBreakPreview" zoomScale="80" zoomScaleNormal="90" zoomScaleSheetLayoutView="80" zoomScalePageLayoutView="0" workbookViewId="0" topLeftCell="A93">
      <selection activeCell="D119" sqref="D119"/>
    </sheetView>
  </sheetViews>
  <sheetFormatPr defaultColWidth="11.421875" defaultRowHeight="15"/>
  <cols>
    <col min="1" max="1" width="11.421875" style="238" customWidth="1"/>
    <col min="2" max="2" width="34.7109375" style="238" customWidth="1"/>
    <col min="3" max="3" width="22.28125" style="238" bestFit="1" customWidth="1"/>
    <col min="4" max="4" width="24.00390625" style="238" bestFit="1" customWidth="1"/>
    <col min="5" max="5" width="26.7109375" style="239" bestFit="1" customWidth="1"/>
    <col min="6" max="6" width="22.8515625" style="238" customWidth="1"/>
    <col min="7" max="7" width="21.421875" style="238" bestFit="1" customWidth="1"/>
    <col min="8" max="8" width="21.00390625" style="240" bestFit="1" customWidth="1"/>
    <col min="9" max="9" width="21.421875" style="240" bestFit="1" customWidth="1"/>
    <col min="10" max="10" width="22.7109375" style="238" customWidth="1"/>
    <col min="11" max="11" width="18.421875" style="238" customWidth="1"/>
    <col min="12" max="12" width="24.00390625" style="238" bestFit="1" customWidth="1"/>
    <col min="13" max="13" width="18.140625" style="238" bestFit="1" customWidth="1"/>
    <col min="14" max="14" width="13.421875" style="238" bestFit="1" customWidth="1"/>
    <col min="15" max="15" width="13.8515625" style="238" bestFit="1" customWidth="1"/>
    <col min="16" max="16" width="16.8515625" style="238" bestFit="1" customWidth="1"/>
    <col min="17" max="17" width="13.8515625" style="238" bestFit="1" customWidth="1"/>
    <col min="18" max="16384" width="11.421875" style="238" customWidth="1"/>
  </cols>
  <sheetData>
    <row r="2" spans="2:11" s="270" customFormat="1" ht="15" customHeight="1">
      <c r="B2" s="680" t="s">
        <v>100</v>
      </c>
      <c r="C2" s="680"/>
      <c r="D2" s="680"/>
      <c r="E2" s="680"/>
      <c r="F2" s="680"/>
      <c r="G2" s="680"/>
      <c r="H2" s="680"/>
      <c r="I2" s="680"/>
      <c r="J2" s="680"/>
      <c r="K2" s="680"/>
    </row>
    <row r="3" spans="2:11" s="270" customFormat="1" ht="15">
      <c r="B3" s="680" t="s">
        <v>355</v>
      </c>
      <c r="C3" s="680"/>
      <c r="D3" s="680"/>
      <c r="E3" s="680"/>
      <c r="F3" s="680"/>
      <c r="G3" s="680"/>
      <c r="H3" s="680"/>
      <c r="I3" s="680"/>
      <c r="J3" s="680"/>
      <c r="K3" s="680"/>
    </row>
    <row r="4" spans="2:11" s="270" customFormat="1" ht="15">
      <c r="B4" s="680"/>
      <c r="C4" s="680"/>
      <c r="D4" s="680"/>
      <c r="E4" s="680"/>
      <c r="F4" s="680"/>
      <c r="G4" s="680"/>
      <c r="H4" s="680"/>
      <c r="I4" s="680"/>
      <c r="J4" s="680"/>
      <c r="K4" s="680"/>
    </row>
    <row r="6" spans="2:9" s="241" customFormat="1" ht="30.75">
      <c r="B6" s="242" t="s">
        <v>169</v>
      </c>
      <c r="C6" s="242" t="s">
        <v>204</v>
      </c>
      <c r="D6" s="242" t="s">
        <v>320</v>
      </c>
      <c r="E6" s="242" t="s">
        <v>321</v>
      </c>
      <c r="F6" s="242" t="s">
        <v>322</v>
      </c>
      <c r="G6" s="242" t="s">
        <v>171</v>
      </c>
      <c r="H6" s="243"/>
      <c r="I6" s="244"/>
    </row>
    <row r="7" spans="2:9" ht="15">
      <c r="B7" s="245" t="str">
        <f>+'[3]PROYECCIÓN CIERRE 2021'!A2</f>
        <v>CENTRAL DE ABASTOS</v>
      </c>
      <c r="C7" s="246">
        <f aca="true" t="shared" si="0" ref="C7:C13">+F7/$F$14</f>
        <v>0</v>
      </c>
      <c r="D7" s="245">
        <f>+'[3]PROYECCIÓN CIERRE 2021 (2)'!D2</f>
        <v>0</v>
      </c>
      <c r="E7" s="246">
        <v>0</v>
      </c>
      <c r="F7" s="245">
        <f>+D7*1.03</f>
        <v>0</v>
      </c>
      <c r="G7" s="245">
        <f aca="true" t="shared" si="1" ref="G7:G14">+F7-D7</f>
        <v>0</v>
      </c>
      <c r="H7" s="243"/>
      <c r="I7" s="243"/>
    </row>
    <row r="8" spans="2:9" ht="15">
      <c r="B8" s="245" t="str">
        <f>+'[3]PROYECCIÓN CIERRE 2021'!A3</f>
        <v>COMERCIALIZADOR</v>
      </c>
      <c r="C8" s="246">
        <f t="shared" si="0"/>
        <v>0.026868567205887164</v>
      </c>
      <c r="D8" s="245">
        <f>+'[3]PROYECCIÓN CIERRE 2021 (2)'!D3</f>
        <v>37014924.42612287</v>
      </c>
      <c r="E8" s="246">
        <f aca="true" t="shared" si="2" ref="E8:E13">(F8/D8)-100%</f>
        <v>0.040000000000000036</v>
      </c>
      <c r="F8" s="245">
        <f>+D8*1.04</f>
        <v>38495521.403167784</v>
      </c>
      <c r="G8" s="245">
        <f t="shared" si="1"/>
        <v>1480596.9770449176</v>
      </c>
      <c r="H8" s="243"/>
      <c r="I8" s="243"/>
    </row>
    <row r="9" spans="2:9" ht="15">
      <c r="B9" s="245" t="str">
        <f>+'[3]PROYECCIÓN CIERRE 2021'!A4</f>
        <v>FRUVER</v>
      </c>
      <c r="C9" s="246">
        <f t="shared" si="0"/>
        <v>0.17087301558926576</v>
      </c>
      <c r="D9" s="245">
        <f>+'[3]PROYECCIÓN CIERRE 2021 (2)'!D4</f>
        <v>222559684.65226236</v>
      </c>
      <c r="E9" s="246">
        <f t="shared" si="2"/>
        <v>0.10000000000000009</v>
      </c>
      <c r="F9" s="245">
        <f>+D9*1.1</f>
        <v>244815653.11748862</v>
      </c>
      <c r="G9" s="245">
        <f t="shared" si="1"/>
        <v>22255968.465226263</v>
      </c>
      <c r="H9" s="243"/>
      <c r="I9" s="243"/>
    </row>
    <row r="10" spans="2:9" ht="15">
      <c r="B10" s="245" t="str">
        <f>+'[3]PROYECCIÓN CIERRE 2021'!A5</f>
        <v>GRANDES SUPERFICIES</v>
      </c>
      <c r="C10" s="246">
        <f t="shared" si="0"/>
        <v>0.06105857022279721</v>
      </c>
      <c r="D10" s="245">
        <f>+'[3]PROYECCIÓN CIERRE 2021 (2)'!D5</f>
        <v>86614570.28941599</v>
      </c>
      <c r="E10" s="246">
        <f t="shared" si="2"/>
        <v>0.010000000000000009</v>
      </c>
      <c r="F10" s="245">
        <f>+D10*1.01</f>
        <v>87480715.99231015</v>
      </c>
      <c r="G10" s="245">
        <f t="shared" si="1"/>
        <v>866145.7028941661</v>
      </c>
      <c r="H10" s="243"/>
      <c r="I10" s="243"/>
    </row>
    <row r="11" spans="2:9" ht="15">
      <c r="B11" s="245" t="str">
        <f>+'[3]PROYECCIÓN CIERRE 2021'!A6</f>
        <v>HORECA</v>
      </c>
      <c r="C11" s="246">
        <f t="shared" si="0"/>
        <v>0.033106607401772375</v>
      </c>
      <c r="D11" s="245">
        <f>+'[3]PROYECCIÓN CIERRE 2021 (2)'!D6</f>
        <v>39527480.3222467</v>
      </c>
      <c r="E11" s="246">
        <f t="shared" si="2"/>
        <v>0.19999999999999996</v>
      </c>
      <c r="F11" s="245">
        <f>+D11*1.2</f>
        <v>47432976.38669604</v>
      </c>
      <c r="G11" s="245">
        <f t="shared" si="1"/>
        <v>7905496.06444934</v>
      </c>
      <c r="H11" s="243"/>
      <c r="I11" s="243"/>
    </row>
    <row r="12" spans="2:9" ht="15">
      <c r="B12" s="245" t="str">
        <f>+'[3]PROYECCIÓN CIERRE 2021'!A7</f>
        <v>INDUSTRIA</v>
      </c>
      <c r="C12" s="246">
        <f t="shared" si="0"/>
        <v>0.7031172412912238</v>
      </c>
      <c r="D12" s="245">
        <f>+'[3]PROYECCIÓN CIERRE 2021 (2)'!D7</f>
        <v>997406219.8852615</v>
      </c>
      <c r="E12" s="246">
        <f t="shared" si="2"/>
        <v>0.010000000000000009</v>
      </c>
      <c r="F12" s="245">
        <f>+D12*1.01</f>
        <v>1007380282.0841142</v>
      </c>
      <c r="G12" s="245">
        <f t="shared" si="1"/>
        <v>9974062.198852658</v>
      </c>
      <c r="H12" s="243"/>
      <c r="I12" s="243"/>
    </row>
    <row r="13" spans="2:9" ht="15">
      <c r="B13" s="245" t="str">
        <f>+'[3]PROYECCIÓN CIERRE 2021'!A8</f>
        <v>SEMILLERISTA</v>
      </c>
      <c r="C13" s="246">
        <f t="shared" si="0"/>
        <v>0.004975998289053796</v>
      </c>
      <c r="D13" s="245">
        <f>+'[3]PROYECCIÓN CIERRE 2021 (2)'!D8</f>
        <v>6855080.853492105</v>
      </c>
      <c r="E13" s="246">
        <f t="shared" si="2"/>
        <v>0.040000000000000036</v>
      </c>
      <c r="F13" s="245">
        <f>+D13*1.04</f>
        <v>7129284.08763179</v>
      </c>
      <c r="G13" s="245">
        <f t="shared" si="1"/>
        <v>274203.2341396846</v>
      </c>
      <c r="H13" s="243"/>
      <c r="I13" s="243"/>
    </row>
    <row r="14" spans="2:9" s="241" customFormat="1" ht="15">
      <c r="B14" s="242" t="s">
        <v>28</v>
      </c>
      <c r="C14" s="247">
        <f>SUM(C7:C13)</f>
        <v>1</v>
      </c>
      <c r="D14" s="248">
        <f>SUM(D7:D13)</f>
        <v>1389977960.4288013</v>
      </c>
      <c r="E14" s="249">
        <f>+(F14-D14)/D14</f>
        <v>0.030760539994042102</v>
      </c>
      <c r="F14" s="248">
        <f>SUM(F7:F13)</f>
        <v>1432734433.0714085</v>
      </c>
      <c r="G14" s="248">
        <f t="shared" si="1"/>
        <v>42756472.64260721</v>
      </c>
      <c r="H14" s="243"/>
      <c r="I14" s="243"/>
    </row>
    <row r="15" spans="8:9" ht="15">
      <c r="H15" s="243"/>
      <c r="I15" s="243"/>
    </row>
    <row r="16" spans="2:9" s="241" customFormat="1" ht="30.75">
      <c r="B16" s="242" t="s">
        <v>153</v>
      </c>
      <c r="C16" s="242" t="s">
        <v>204</v>
      </c>
      <c r="D16" s="242" t="str">
        <f>+D6</f>
        <v>Proyectado 2021</v>
      </c>
      <c r="E16" s="242" t="str">
        <f>+E6</f>
        <v>% Gestión 2022</v>
      </c>
      <c r="F16" s="242" t="str">
        <f>+F6</f>
        <v>Meta 2022</v>
      </c>
      <c r="G16" s="242" t="str">
        <f>+G6</f>
        <v>Diferencia</v>
      </c>
      <c r="H16" s="243"/>
      <c r="I16" s="244"/>
    </row>
    <row r="17" spans="2:9" ht="15">
      <c r="B17" s="245" t="str">
        <f>+'[3]PROYECCIÓN CIERRE 2021'!A12</f>
        <v>CENTRAL DE ABASTOS</v>
      </c>
      <c r="C17" s="246">
        <f aca="true" t="shared" si="3" ref="C17:C23">+F17/$F$24</f>
        <v>0.006432492436981578</v>
      </c>
      <c r="D17" s="245">
        <f>+'[3]PROYECCIÓN CIERRE 2021 (2)'!D12</f>
        <v>760083.9615083424</v>
      </c>
      <c r="E17" s="246">
        <f>(F17/D17)-100%</f>
        <v>0.5</v>
      </c>
      <c r="F17" s="245">
        <f>+D17*1.5</f>
        <v>1140125.9422625136</v>
      </c>
      <c r="G17" s="245">
        <f aca="true" t="shared" si="4" ref="G17:G24">+F17-D17</f>
        <v>380041.98075417115</v>
      </c>
      <c r="H17" s="243"/>
      <c r="I17" s="243"/>
    </row>
    <row r="18" spans="2:9" ht="15">
      <c r="B18" s="245" t="str">
        <f>+'[3]PROYECCIÓN CIERRE 2021'!A13</f>
        <v>COMERCIALIZADOR</v>
      </c>
      <c r="C18" s="246">
        <f t="shared" si="3"/>
        <v>0.46511710602443257</v>
      </c>
      <c r="D18" s="245">
        <f>+'[3]PROYECCIÓN CIERRE 2021 (2)'!D13</f>
        <v>45799775.64111966</v>
      </c>
      <c r="E18" s="246">
        <f aca="true" t="shared" si="5" ref="E18:E23">(F18/D18)-100%</f>
        <v>0.8</v>
      </c>
      <c r="F18" s="245">
        <f>+D18*1.8</f>
        <v>82439596.15401539</v>
      </c>
      <c r="G18" s="245">
        <f t="shared" si="4"/>
        <v>36639820.51289573</v>
      </c>
      <c r="H18" s="243"/>
      <c r="I18" s="243"/>
    </row>
    <row r="19" spans="2:9" ht="15">
      <c r="B19" s="245" t="str">
        <f>+'[3]PROYECCIÓN CIERRE 2021'!A14</f>
        <v>FRUVER</v>
      </c>
      <c r="C19" s="246">
        <f t="shared" si="3"/>
        <v>0.2231140521674156</v>
      </c>
      <c r="D19" s="245">
        <f>+'[3]PROYECCIÓN CIERRE 2021 (2)'!D14</f>
        <v>38770401.23226359</v>
      </c>
      <c r="E19" s="246">
        <f t="shared" si="5"/>
        <v>0.020000000000000018</v>
      </c>
      <c r="F19" s="245">
        <f>+D19*1.02</f>
        <v>39545809.25690886</v>
      </c>
      <c r="G19" s="245">
        <f t="shared" si="4"/>
        <v>775408.0246452689</v>
      </c>
      <c r="H19" s="243"/>
      <c r="I19" s="243"/>
    </row>
    <row r="20" spans="2:9" ht="15">
      <c r="B20" s="245" t="str">
        <f>+'[3]PROYECCIÓN CIERRE 2021'!A15</f>
        <v>GRANDES SUPERFICIES</v>
      </c>
      <c r="C20" s="246">
        <f t="shared" si="3"/>
        <v>0</v>
      </c>
      <c r="D20" s="245">
        <f>+'[3]PROYECCIÓN CIERRE 2021 (2)'!D15</f>
        <v>0</v>
      </c>
      <c r="E20" s="246">
        <v>0</v>
      </c>
      <c r="F20" s="245">
        <f>+D20*1.0167</f>
        <v>0</v>
      </c>
      <c r="G20" s="245">
        <f t="shared" si="4"/>
        <v>0</v>
      </c>
      <c r="H20" s="243"/>
      <c r="I20" s="243"/>
    </row>
    <row r="21" spans="2:9" ht="15">
      <c r="B21" s="245" t="str">
        <f>+'[3]PROYECCIÓN CIERRE 2021'!A16</f>
        <v>HORECA</v>
      </c>
      <c r="C21" s="246">
        <f t="shared" si="3"/>
        <v>0.026027697333155634</v>
      </c>
      <c r="D21" s="245">
        <f>+'[3]PROYECCIÓN CIERRE 2021 (2)'!D16</f>
        <v>3548672.6463771304</v>
      </c>
      <c r="E21" s="246">
        <f t="shared" si="5"/>
        <v>0.30000000000000004</v>
      </c>
      <c r="F21" s="245">
        <f>+D21*1.3</f>
        <v>4613274.440290269</v>
      </c>
      <c r="G21" s="245">
        <f t="shared" si="4"/>
        <v>1064601.793913139</v>
      </c>
      <c r="H21" s="243"/>
      <c r="I21" s="243"/>
    </row>
    <row r="22" spans="2:9" ht="15">
      <c r="B22" s="245" t="str">
        <f>+'[3]PROYECCIÓN CIERRE 2021'!A17</f>
        <v>INDUSTRIA</v>
      </c>
      <c r="C22" s="246">
        <f t="shared" si="3"/>
        <v>0.25438091514940353</v>
      </c>
      <c r="D22" s="245">
        <f>+'[3]PROYECCIÓN CIERRE 2021 (2)'!D17</f>
        <v>44641285.793816164</v>
      </c>
      <c r="E22" s="246">
        <f t="shared" si="5"/>
        <v>0.010000000000000009</v>
      </c>
      <c r="F22" s="245">
        <f>+D22*1.01</f>
        <v>45087698.65175433</v>
      </c>
      <c r="G22" s="245">
        <f t="shared" si="4"/>
        <v>446412.857938163</v>
      </c>
      <c r="H22" s="243"/>
      <c r="I22" s="243"/>
    </row>
    <row r="23" spans="2:9" ht="15">
      <c r="B23" s="245" t="str">
        <f>+'[3]PROYECCIÓN CIERRE 2021'!A18</f>
        <v>SEMILLERISTA</v>
      </c>
      <c r="C23" s="246">
        <f t="shared" si="3"/>
        <v>0.024927736888611253</v>
      </c>
      <c r="D23" s="245">
        <f>+'[3]PROYECCIÓN CIERRE 2021 (2)'!D18</f>
        <v>4207916.336220625</v>
      </c>
      <c r="E23" s="246">
        <f t="shared" si="5"/>
        <v>0.050000000000000044</v>
      </c>
      <c r="F23" s="245">
        <f>+D23*1.05</f>
        <v>4418312.1530316565</v>
      </c>
      <c r="G23" s="245">
        <f t="shared" si="4"/>
        <v>210395.81681103166</v>
      </c>
      <c r="H23" s="243"/>
      <c r="I23" s="243"/>
    </row>
    <row r="24" spans="2:9" s="241" customFormat="1" ht="15">
      <c r="B24" s="242" t="s">
        <v>28</v>
      </c>
      <c r="C24" s="247">
        <f>SUM(C17:C23)</f>
        <v>1.0000000000000002</v>
      </c>
      <c r="D24" s="248">
        <f>SUM(D17:D23)</f>
        <v>137728135.6113055</v>
      </c>
      <c r="E24" s="249">
        <f>+(F24-D24)/D24</f>
        <v>0.28691799835642107</v>
      </c>
      <c r="F24" s="248">
        <f>SUM(F17:F23)</f>
        <v>177244816.598263</v>
      </c>
      <c r="G24" s="248">
        <f t="shared" si="4"/>
        <v>39516680.98695749</v>
      </c>
      <c r="H24" s="243"/>
      <c r="I24" s="243"/>
    </row>
    <row r="25" spans="8:9" ht="15">
      <c r="H25" s="243"/>
      <c r="I25" s="243"/>
    </row>
    <row r="26" spans="2:9" s="241" customFormat="1" ht="30.75">
      <c r="B26" s="242" t="s">
        <v>154</v>
      </c>
      <c r="C26" s="242" t="s">
        <v>204</v>
      </c>
      <c r="D26" s="242" t="str">
        <f>+D6</f>
        <v>Proyectado 2021</v>
      </c>
      <c r="E26" s="242" t="str">
        <f>+E6</f>
        <v>% Gestión 2022</v>
      </c>
      <c r="F26" s="242" t="str">
        <f>+F6</f>
        <v>Meta 2022</v>
      </c>
      <c r="G26" s="242" t="str">
        <f>+G6</f>
        <v>Diferencia</v>
      </c>
      <c r="H26" s="243"/>
      <c r="I26" s="244"/>
    </row>
    <row r="27" spans="2:9" ht="15">
      <c r="B27" s="245" t="str">
        <f>+'[3]PROYECCIÓN CIERRE 2021'!A22</f>
        <v>CENTRAL DE ABASTOS</v>
      </c>
      <c r="C27" s="250">
        <f>+F27/$F$34</f>
        <v>0.024047034680130357</v>
      </c>
      <c r="D27" s="245">
        <f>+'[3]PROYECCIÓN CIERRE 2021 (2)'!D22</f>
        <v>16919250.80835518</v>
      </c>
      <c r="E27" s="246">
        <f>(F27/D27)-100%</f>
        <v>0.19999999999999996</v>
      </c>
      <c r="F27" s="245">
        <f>+D27*1.2</f>
        <v>20303100.970026214</v>
      </c>
      <c r="G27" s="245">
        <f>+F27-D27</f>
        <v>3383850.161671035</v>
      </c>
      <c r="H27" s="243"/>
      <c r="I27" s="243"/>
    </row>
    <row r="28" spans="2:9" ht="15">
      <c r="B28" s="245" t="str">
        <f>+'[3]PROYECCIÓN CIERRE 2021'!A23</f>
        <v>COMERCIALIZADOR</v>
      </c>
      <c r="C28" s="250">
        <f aca="true" t="shared" si="6" ref="C28:C33">+F28/$F$34</f>
        <v>0.06180221631702876</v>
      </c>
      <c r="D28" s="245">
        <f>+'[3]PROYECCIÓN CIERRE 2021 (2)'!D23</f>
        <v>47436453.17478342</v>
      </c>
      <c r="E28" s="246">
        <f aca="true" t="shared" si="7" ref="E28:E33">(F28/D28)-100%</f>
        <v>0.10000000000000009</v>
      </c>
      <c r="F28" s="245">
        <f>+D28*1.1</f>
        <v>52180098.49226177</v>
      </c>
      <c r="G28" s="245">
        <f aca="true" t="shared" si="8" ref="G28:G33">+F28-D28</f>
        <v>4743645.317478344</v>
      </c>
      <c r="H28" s="243"/>
      <c r="I28" s="243"/>
    </row>
    <row r="29" spans="2:9" ht="15">
      <c r="B29" s="245" t="str">
        <f>+'[3]PROYECCIÓN CIERRE 2021'!A24</f>
        <v>FRUVER</v>
      </c>
      <c r="C29" s="250">
        <f t="shared" si="6"/>
        <v>0.5063421381847919</v>
      </c>
      <c r="D29" s="245">
        <f>+'[3]PROYECCIÓN CIERRE 2021 (2)'!D24</f>
        <v>419126136.5972341</v>
      </c>
      <c r="E29" s="246">
        <f t="shared" si="7"/>
        <v>0.020000000000000018</v>
      </c>
      <c r="F29" s="245">
        <f>+D29*1.02</f>
        <v>427508659.32917875</v>
      </c>
      <c r="G29" s="245">
        <f t="shared" si="8"/>
        <v>8382522.73194468</v>
      </c>
      <c r="H29" s="243"/>
      <c r="I29" s="243"/>
    </row>
    <row r="30" spans="2:9" ht="15">
      <c r="B30" s="245" t="str">
        <f>+'[3]PROYECCIÓN CIERRE 2021'!A25</f>
        <v>GRANDES SUPERFICIES</v>
      </c>
      <c r="C30" s="250">
        <f t="shared" si="6"/>
        <v>0.05265781251192025</v>
      </c>
      <c r="D30" s="245">
        <f>+'[3]PROYECCIÓN CIERRE 2021 (2)'!D25</f>
        <v>44019214.12284695</v>
      </c>
      <c r="E30" s="246">
        <f t="shared" si="7"/>
        <v>0.010000000000000009</v>
      </c>
      <c r="F30" s="245">
        <f>+D30*1.01</f>
        <v>44459406.26407542</v>
      </c>
      <c r="G30" s="245">
        <f t="shared" si="8"/>
        <v>440192.1412284672</v>
      </c>
      <c r="H30" s="243"/>
      <c r="I30" s="243"/>
    </row>
    <row r="31" spans="2:9" ht="15">
      <c r="B31" s="245" t="str">
        <f>+'[3]PROYECCIÓN CIERRE 2021'!A26</f>
        <v>HORECA</v>
      </c>
      <c r="C31" s="250">
        <f t="shared" si="6"/>
        <v>0.03780904698793719</v>
      </c>
      <c r="D31" s="245">
        <f>+'[3]PROYECCIÓN CIERRE 2021 (2)'!D26</f>
        <v>29020433.147998393</v>
      </c>
      <c r="E31" s="246">
        <f t="shared" si="7"/>
        <v>0.10000000000000009</v>
      </c>
      <c r="F31" s="245">
        <f>+D31*1.1</f>
        <v>31922476.462798234</v>
      </c>
      <c r="G31" s="245">
        <f t="shared" si="8"/>
        <v>2902043.3147998415</v>
      </c>
      <c r="H31" s="243"/>
      <c r="I31" s="243"/>
    </row>
    <row r="32" spans="2:9" ht="15">
      <c r="B32" s="245" t="str">
        <f>+'[3]PROYECCIÓN CIERRE 2021'!A27</f>
        <v>INDUSTRIA</v>
      </c>
      <c r="C32" s="250">
        <f t="shared" si="6"/>
        <v>0.3006066460366994</v>
      </c>
      <c r="D32" s="245">
        <f>+'[3]PROYECCIÓN CIERRE 2021 (2)'!D27</f>
        <v>248828001.24139115</v>
      </c>
      <c r="E32" s="246">
        <f t="shared" si="7"/>
        <v>0.020000000000000018</v>
      </c>
      <c r="F32" s="245">
        <f>+D32*1.02</f>
        <v>253804561.266219</v>
      </c>
      <c r="G32" s="245">
        <f t="shared" si="8"/>
        <v>4976560.024827838</v>
      </c>
      <c r="H32" s="243"/>
      <c r="I32" s="243"/>
    </row>
    <row r="33" spans="2:9" ht="15">
      <c r="B33" s="245" t="str">
        <f>+'[3]PROYECCIÓN CIERRE 2021'!A28</f>
        <v>SEMILLERISTA</v>
      </c>
      <c r="C33" s="250">
        <f t="shared" si="6"/>
        <v>0.016735105281492125</v>
      </c>
      <c r="D33" s="245">
        <f>+'[3]PROYECCIÓN CIERRE 2021 (2)'!D28</f>
        <v>12845073.936965529</v>
      </c>
      <c r="E33" s="246">
        <f t="shared" si="7"/>
        <v>0.10000000000000009</v>
      </c>
      <c r="F33" s="245">
        <f>+D33*1.1</f>
        <v>14129581.330662083</v>
      </c>
      <c r="G33" s="245">
        <f t="shared" si="8"/>
        <v>1284507.393696554</v>
      </c>
      <c r="H33" s="243"/>
      <c r="I33" s="243"/>
    </row>
    <row r="34" spans="2:9" s="241" customFormat="1" ht="15">
      <c r="B34" s="242" t="s">
        <v>28</v>
      </c>
      <c r="C34" s="247">
        <f>SUM(C27:C33)</f>
        <v>1</v>
      </c>
      <c r="D34" s="248">
        <f>SUM(D27:D33)</f>
        <v>818194563.0295748</v>
      </c>
      <c r="E34" s="249">
        <f>+(F34-D34)/D34</f>
        <v>0.03191578417357785</v>
      </c>
      <c r="F34" s="248">
        <f>SUM(F27:F33)</f>
        <v>844307884.1152215</v>
      </c>
      <c r="G34" s="248">
        <f>+F34-D34</f>
        <v>26113321.08564675</v>
      </c>
      <c r="H34" s="243"/>
      <c r="I34" s="243"/>
    </row>
    <row r="35" spans="8:9" ht="15">
      <c r="H35" s="243"/>
      <c r="I35" s="243"/>
    </row>
    <row r="36" spans="2:9" s="241" customFormat="1" ht="30.75">
      <c r="B36" s="242" t="s">
        <v>155</v>
      </c>
      <c r="C36" s="242" t="s">
        <v>204</v>
      </c>
      <c r="D36" s="242" t="str">
        <f>+D6</f>
        <v>Proyectado 2021</v>
      </c>
      <c r="E36" s="242" t="str">
        <f>+E6</f>
        <v>% Gestión 2022</v>
      </c>
      <c r="F36" s="242" t="str">
        <f>+F6</f>
        <v>Meta 2022</v>
      </c>
      <c r="G36" s="242" t="str">
        <f>+G6</f>
        <v>Diferencia</v>
      </c>
      <c r="H36" s="243"/>
      <c r="I36" s="244"/>
    </row>
    <row r="37" spans="2:9" ht="15">
      <c r="B37" s="245" t="str">
        <f>+'[3]PROYECCIÓN CIERRE 2021'!A32</f>
        <v>CENTRAL DE ABASTOS</v>
      </c>
      <c r="C37" s="250">
        <f aca="true" t="shared" si="9" ref="C37:C43">+F37/$F$44</f>
        <v>0.3188263261657804</v>
      </c>
      <c r="D37" s="245">
        <f>+'[3]PROYECCIÓN CIERRE 2021 (2)'!D32</f>
        <v>273879631.46026206</v>
      </c>
      <c r="E37" s="246">
        <f aca="true" t="shared" si="10" ref="E37:E42">(F37/D37)-100%</f>
        <v>0.3500000000000001</v>
      </c>
      <c r="F37" s="245">
        <f>+D37*1.35</f>
        <v>369737502.4713538</v>
      </c>
      <c r="G37" s="245">
        <f>+F37-D37</f>
        <v>95857871.01109177</v>
      </c>
      <c r="H37" s="243"/>
      <c r="I37" s="243"/>
    </row>
    <row r="38" spans="2:9" ht="15">
      <c r="B38" s="245" t="str">
        <f>+'[3]PROYECCIÓN CIERRE 2021'!A33</f>
        <v>COMERCIALIZADOR</v>
      </c>
      <c r="C38" s="250">
        <f t="shared" si="9"/>
        <v>0.17073293542027002</v>
      </c>
      <c r="D38" s="245">
        <f>+'[3]PROYECCIÓN CIERRE 2021 (2)'!D33</f>
        <v>141425785.65545633</v>
      </c>
      <c r="E38" s="246">
        <f t="shared" si="10"/>
        <v>0.3999999999999999</v>
      </c>
      <c r="F38" s="245">
        <f>+D38*1.4</f>
        <v>197996099.91763887</v>
      </c>
      <c r="G38" s="245">
        <f aca="true" t="shared" si="11" ref="G38:G43">+F38-D38</f>
        <v>56570314.262182534</v>
      </c>
      <c r="H38" s="243"/>
      <c r="I38" s="243"/>
    </row>
    <row r="39" spans="2:9" ht="15">
      <c r="B39" s="245" t="str">
        <f>+'[3]PROYECCIÓN CIERRE 2021'!A34</f>
        <v>FRUVER</v>
      </c>
      <c r="C39" s="250">
        <f t="shared" si="9"/>
        <v>0.17862974359667128</v>
      </c>
      <c r="D39" s="245">
        <f>+'[3]PROYECCIÓN CIERRE 2021 (2)'!D34</f>
        <v>203092053.8316239</v>
      </c>
      <c r="E39" s="246">
        <f t="shared" si="10"/>
        <v>0.020000000000000018</v>
      </c>
      <c r="F39" s="245">
        <f>+D39*1.02</f>
        <v>207153894.90825638</v>
      </c>
      <c r="G39" s="245">
        <f t="shared" si="11"/>
        <v>4061841.07663247</v>
      </c>
      <c r="H39" s="243"/>
      <c r="I39" s="243"/>
    </row>
    <row r="40" spans="2:9" ht="15">
      <c r="B40" s="245" t="str">
        <f>+'[3]PROYECCIÓN CIERRE 2021'!A35</f>
        <v>GRANDES SUPERFICIES</v>
      </c>
      <c r="C40" s="250">
        <f t="shared" si="9"/>
        <v>0.3022799111611539</v>
      </c>
      <c r="D40" s="245">
        <f>+'[3]PROYECCIÓN CIERRE 2021 (2)'!D35</f>
        <v>347078123.38165</v>
      </c>
      <c r="E40" s="246">
        <f t="shared" si="10"/>
        <v>0.010000000000000009</v>
      </c>
      <c r="F40" s="245">
        <f>+D40*1.01</f>
        <v>350548904.6154665</v>
      </c>
      <c r="G40" s="245">
        <f t="shared" si="11"/>
        <v>3470781.2338165045</v>
      </c>
      <c r="H40" s="243"/>
      <c r="I40" s="243"/>
    </row>
    <row r="41" spans="2:9" ht="15">
      <c r="B41" s="245" t="str">
        <f>+'[3]PROYECCIÓN CIERRE 2021'!A36</f>
        <v>HORECA</v>
      </c>
      <c r="C41" s="250">
        <f t="shared" si="9"/>
        <v>0.018904028289160872</v>
      </c>
      <c r="D41" s="245">
        <f>+'[3]PROYECCIÓN CIERRE 2021 (2)'!D36</f>
        <v>19063201.860558074</v>
      </c>
      <c r="E41" s="246">
        <f t="shared" si="10"/>
        <v>0.1499999999999999</v>
      </c>
      <c r="F41" s="245">
        <f>+D41*1.15</f>
        <v>21922682.139641784</v>
      </c>
      <c r="G41" s="245">
        <f t="shared" si="11"/>
        <v>2859480.27908371</v>
      </c>
      <c r="H41" s="243"/>
      <c r="I41" s="243"/>
    </row>
    <row r="42" spans="2:9" ht="15">
      <c r="B42" s="245" t="str">
        <f>+'[3]PROYECCIÓN CIERRE 2021'!A37</f>
        <v>INDUSTRIA</v>
      </c>
      <c r="C42" s="250">
        <f t="shared" si="9"/>
        <v>0.010627055366963727</v>
      </c>
      <c r="D42" s="245">
        <f>+'[3]PROYECCIÓN CIERRE 2021 (2)'!D37</f>
        <v>12082369.135188434</v>
      </c>
      <c r="E42" s="246">
        <f t="shared" si="10"/>
        <v>0.020000000000000018</v>
      </c>
      <c r="F42" s="245">
        <f>+D42*1.02</f>
        <v>12324016.517892202</v>
      </c>
      <c r="G42" s="245">
        <f t="shared" si="11"/>
        <v>241647.3827037681</v>
      </c>
      <c r="H42" s="243"/>
      <c r="I42" s="243"/>
    </row>
    <row r="43" spans="2:9" ht="15">
      <c r="B43" s="245" t="str">
        <f>+'[3]PROYECCIÓN CIERRE 2021'!A38</f>
        <v>SEMILLERISTA</v>
      </c>
      <c r="C43" s="250">
        <f t="shared" si="9"/>
        <v>0</v>
      </c>
      <c r="D43" s="245">
        <f>+'[3]PROYECCIÓN CIERRE 2021 (2)'!D38</f>
        <v>0</v>
      </c>
      <c r="E43" s="246">
        <v>0</v>
      </c>
      <c r="F43" s="245">
        <f>+D43*1.08</f>
        <v>0</v>
      </c>
      <c r="G43" s="245">
        <f t="shared" si="11"/>
        <v>0</v>
      </c>
      <c r="H43" s="243"/>
      <c r="I43" s="243"/>
    </row>
    <row r="44" spans="2:9" s="241" customFormat="1" ht="15">
      <c r="B44" s="242" t="s">
        <v>28</v>
      </c>
      <c r="C44" s="247">
        <f>SUM(C37:C43)</f>
        <v>1</v>
      </c>
      <c r="D44" s="248">
        <f>SUM(D37:D43)</f>
        <v>996621165.3247387</v>
      </c>
      <c r="E44" s="249">
        <f>+(F44-D44)/D44</f>
        <v>0.16361476247835707</v>
      </c>
      <c r="F44" s="248">
        <f>SUM(F37:F43)</f>
        <v>1159683100.5702493</v>
      </c>
      <c r="G44" s="248">
        <f>+F44-D44</f>
        <v>163061935.24551058</v>
      </c>
      <c r="H44" s="243"/>
      <c r="I44" s="243"/>
    </row>
    <row r="45" spans="8:9" ht="15">
      <c r="H45" s="243"/>
      <c r="I45" s="243"/>
    </row>
    <row r="46" spans="2:9" s="241" customFormat="1" ht="30.75">
      <c r="B46" s="242" t="s">
        <v>156</v>
      </c>
      <c r="C46" s="242" t="s">
        <v>204</v>
      </c>
      <c r="D46" s="242" t="str">
        <f>+D6</f>
        <v>Proyectado 2021</v>
      </c>
      <c r="E46" s="242" t="str">
        <f>+E6</f>
        <v>% Gestión 2022</v>
      </c>
      <c r="F46" s="242" t="str">
        <f>+F6</f>
        <v>Meta 2022</v>
      </c>
      <c r="G46" s="242" t="str">
        <f>+G6</f>
        <v>Diferencia</v>
      </c>
      <c r="H46" s="243"/>
      <c r="I46" s="244"/>
    </row>
    <row r="47" spans="2:9" ht="15">
      <c r="B47" s="245" t="str">
        <f>+'[3]PROYECCIÓN CIERRE 2021'!A42</f>
        <v>CENTRAL DE ABASTOS</v>
      </c>
      <c r="C47" s="250">
        <f aca="true" t="shared" si="12" ref="C47:C53">+F47/$F$54</f>
        <v>0.5561501080845384</v>
      </c>
      <c r="D47" s="245">
        <f>+'[3]PROYECCIÓN CIERRE 2021 (2)'!D42</f>
        <v>498720258.82515943</v>
      </c>
      <c r="E47" s="246">
        <f aca="true" t="shared" si="13" ref="E47:E52">(F47/D47)-100%</f>
        <v>0.30000000000000004</v>
      </c>
      <c r="F47" s="245">
        <f>+D47*1.3</f>
        <v>648336336.4727073</v>
      </c>
      <c r="G47" s="245">
        <f>+F47-D47</f>
        <v>149616077.64754784</v>
      </c>
      <c r="H47" s="243"/>
      <c r="I47" s="243"/>
    </row>
    <row r="48" spans="2:9" ht="15">
      <c r="B48" s="245" t="str">
        <f>+'[3]PROYECCIÓN CIERRE 2021'!A43</f>
        <v>COMERCIALIZADOR</v>
      </c>
      <c r="C48" s="250">
        <f t="shared" si="12"/>
        <v>0.07977080264002519</v>
      </c>
      <c r="D48" s="245">
        <f>+'[3]PROYECCIÓN CIERRE 2021 (2)'!D43</f>
        <v>84539488.0223102</v>
      </c>
      <c r="E48" s="246">
        <f t="shared" si="13"/>
        <v>0.10000000000000009</v>
      </c>
      <c r="F48" s="245">
        <f>+D48*1.1</f>
        <v>92993436.82454123</v>
      </c>
      <c r="G48" s="245">
        <f aca="true" t="shared" si="14" ref="G48:G53">+F48-D48</f>
        <v>8453948.802231029</v>
      </c>
      <c r="H48" s="243"/>
      <c r="I48" s="243"/>
    </row>
    <row r="49" spans="2:9" ht="15">
      <c r="B49" s="245" t="str">
        <f>+'[3]PROYECCIÓN CIERRE 2021'!A44</f>
        <v>FRUVER</v>
      </c>
      <c r="C49" s="250">
        <f t="shared" si="12"/>
        <v>0.10651485178893695</v>
      </c>
      <c r="D49" s="245">
        <f>+'[3]PROYECCIÓN CIERRE 2021 (2)'!D44</f>
        <v>120553904.08199805</v>
      </c>
      <c r="E49" s="246">
        <f t="shared" si="13"/>
        <v>0.030000000000000027</v>
      </c>
      <c r="F49" s="245">
        <f>+D49*1.03</f>
        <v>124170521.204458</v>
      </c>
      <c r="G49" s="245">
        <f t="shared" si="14"/>
        <v>3616617.122459948</v>
      </c>
      <c r="H49" s="243"/>
      <c r="I49" s="243"/>
    </row>
    <row r="50" spans="2:9" ht="15">
      <c r="B50" s="245" t="str">
        <f>+'[3]PROYECCIÓN CIERRE 2021'!A45</f>
        <v>GRANDES SUPERFICIES</v>
      </c>
      <c r="C50" s="250">
        <f t="shared" si="12"/>
        <v>0.02698521941993823</v>
      </c>
      <c r="D50" s="245">
        <f>+'[3]PROYECCIÓN CIERRE 2021 (2)'!D45</f>
        <v>31146762.880031094</v>
      </c>
      <c r="E50" s="246">
        <f t="shared" si="13"/>
        <v>0.010000000000000009</v>
      </c>
      <c r="F50" s="245">
        <f>+D50*1.01</f>
        <v>31458230.508831404</v>
      </c>
      <c r="G50" s="245">
        <f t="shared" si="14"/>
        <v>311467.6288003102</v>
      </c>
      <c r="H50" s="243"/>
      <c r="I50" s="243"/>
    </row>
    <row r="51" spans="2:9" ht="15">
      <c r="B51" s="245" t="str">
        <f>+'[3]PROYECCIÓN CIERRE 2021'!A46</f>
        <v>HORECA</v>
      </c>
      <c r="C51" s="250">
        <f t="shared" si="12"/>
        <v>0.027837405864217034</v>
      </c>
      <c r="D51" s="245">
        <f>+'[3]PROYECCIÓN CIERRE 2021 (2)'!D46</f>
        <v>30047845.850583505</v>
      </c>
      <c r="E51" s="246">
        <f t="shared" si="13"/>
        <v>0.08000000000000007</v>
      </c>
      <c r="F51" s="245">
        <f>+D51*1.08</f>
        <v>32451673.518630188</v>
      </c>
      <c r="G51" s="245">
        <f t="shared" si="14"/>
        <v>2403827.668046683</v>
      </c>
      <c r="H51" s="243"/>
      <c r="I51" s="243"/>
    </row>
    <row r="52" spans="2:9" ht="15">
      <c r="B52" s="245" t="str">
        <f>+'[3]PROYECCIÓN CIERRE 2021'!A47</f>
        <v>INDUSTRIA</v>
      </c>
      <c r="C52" s="250">
        <f t="shared" si="12"/>
        <v>0.20274161220234424</v>
      </c>
      <c r="D52" s="245">
        <f>+'[3]PROYECCIÓN CIERRE 2021 (2)'!D47</f>
        <v>231713352.40759712</v>
      </c>
      <c r="E52" s="246">
        <f t="shared" si="13"/>
        <v>0.020000000000000018</v>
      </c>
      <c r="F52" s="245">
        <f>+D52*1.02</f>
        <v>236347619.45574906</v>
      </c>
      <c r="G52" s="245">
        <f t="shared" si="14"/>
        <v>4634267.04815194</v>
      </c>
      <c r="H52" s="243"/>
      <c r="I52" s="243"/>
    </row>
    <row r="53" spans="2:9" ht="15">
      <c r="B53" s="245" t="str">
        <f>+'[3]PROYECCIÓN CIERRE 2021'!A48</f>
        <v>SEMILLERISTA</v>
      </c>
      <c r="C53" s="250">
        <f t="shared" si="12"/>
        <v>0</v>
      </c>
      <c r="D53" s="245">
        <f>+'[3]PROYECCIÓN CIERRE 2021 (2)'!D48</f>
        <v>0</v>
      </c>
      <c r="E53" s="246">
        <v>0</v>
      </c>
      <c r="F53" s="245">
        <f>+D53*1.05</f>
        <v>0</v>
      </c>
      <c r="G53" s="245">
        <f t="shared" si="14"/>
        <v>0</v>
      </c>
      <c r="H53" s="243"/>
      <c r="I53" s="243"/>
    </row>
    <row r="54" spans="2:9" s="241" customFormat="1" ht="15">
      <c r="B54" s="242" t="s">
        <v>28</v>
      </c>
      <c r="C54" s="247">
        <f>SUM(C47:C53)</f>
        <v>1</v>
      </c>
      <c r="D54" s="248">
        <f>SUM(D47:D53)</f>
        <v>996721612.0676794</v>
      </c>
      <c r="E54" s="249">
        <f>+(F54-D54)/D54</f>
        <v>0.1695921949224874</v>
      </c>
      <c r="F54" s="248">
        <f>SUM(F47:F53)</f>
        <v>1165757817.9849172</v>
      </c>
      <c r="G54" s="248">
        <f>+F54-D54</f>
        <v>169036205.91723776</v>
      </c>
      <c r="H54" s="243"/>
      <c r="I54" s="243"/>
    </row>
    <row r="55" spans="8:9" ht="15">
      <c r="H55" s="243"/>
      <c r="I55" s="243"/>
    </row>
    <row r="56" spans="2:9" s="241" customFormat="1" ht="30.75">
      <c r="B56" s="242" t="s">
        <v>157</v>
      </c>
      <c r="C56" s="242" t="s">
        <v>204</v>
      </c>
      <c r="D56" s="242" t="str">
        <f>+D6</f>
        <v>Proyectado 2021</v>
      </c>
      <c r="E56" s="242" t="str">
        <f>+E6</f>
        <v>% Gestión 2022</v>
      </c>
      <c r="F56" s="242" t="str">
        <f>+F6</f>
        <v>Meta 2022</v>
      </c>
      <c r="G56" s="242" t="str">
        <f>+G6</f>
        <v>Diferencia</v>
      </c>
      <c r="H56" s="243"/>
      <c r="I56" s="244"/>
    </row>
    <row r="57" spans="2:9" ht="15">
      <c r="B57" s="245" t="str">
        <f>+'[3]PROYECCIÓN CIERRE 2021'!A52</f>
        <v>CENTRAL DE ABASTOS</v>
      </c>
      <c r="C57" s="250">
        <f>+F57/$F$64</f>
        <v>0</v>
      </c>
      <c r="D57" s="245">
        <f>+'[3]PROYECCIÓN CIERRE 2021 (2)'!D52</f>
        <v>0</v>
      </c>
      <c r="E57" s="246">
        <v>0</v>
      </c>
      <c r="F57" s="245">
        <f>+D57*1.04</f>
        <v>0</v>
      </c>
      <c r="G57" s="245">
        <f>+F57-D57</f>
        <v>0</v>
      </c>
      <c r="H57" s="243"/>
      <c r="I57" s="243"/>
    </row>
    <row r="58" spans="2:9" ht="15">
      <c r="B58" s="245" t="str">
        <f>+'[3]PROYECCIÓN CIERRE 2021'!A53</f>
        <v>COMERCIALIZADOR</v>
      </c>
      <c r="C58" s="250">
        <f aca="true" t="shared" si="15" ref="C58:C63">+F58/$F$64</f>
        <v>0.39376756067518937</v>
      </c>
      <c r="D58" s="245">
        <f>+'[3]PROYECCIÓN CIERRE 2021 (2)'!D53</f>
        <v>164219047.9495705</v>
      </c>
      <c r="E58" s="246">
        <f aca="true" t="shared" si="16" ref="E58:E63">(F58/D58)-100%</f>
        <v>0.5</v>
      </c>
      <c r="F58" s="245">
        <f>+D58*1.5</f>
        <v>246328571.92435575</v>
      </c>
      <c r="G58" s="245">
        <f aca="true" t="shared" si="17" ref="G58:G63">+F58-D58</f>
        <v>82109523.97478524</v>
      </c>
      <c r="H58" s="243"/>
      <c r="I58" s="243"/>
    </row>
    <row r="59" spans="2:9" ht="15">
      <c r="B59" s="245" t="str">
        <f>+'[3]PROYECCIÓN CIERRE 2021'!A54</f>
        <v>FRUVER</v>
      </c>
      <c r="C59" s="250">
        <f t="shared" si="15"/>
        <v>0.25909893380136256</v>
      </c>
      <c r="D59" s="245">
        <f>+'[3]PROYECCIÓN CIERRE 2021 (2)'!D54</f>
        <v>135070103.79629236</v>
      </c>
      <c r="E59" s="246">
        <f t="shared" si="16"/>
        <v>0.19999999999999996</v>
      </c>
      <c r="F59" s="245">
        <f>+D59*1.2</f>
        <v>162084124.55555084</v>
      </c>
      <c r="G59" s="245">
        <f t="shared" si="17"/>
        <v>27014020.75925848</v>
      </c>
      <c r="H59" s="243"/>
      <c r="I59" s="243"/>
    </row>
    <row r="60" spans="2:9" ht="15">
      <c r="B60" s="245" t="str">
        <f>+'[3]PROYECCIÓN CIERRE 2021'!A55</f>
        <v>GRANDES SUPERFICIES</v>
      </c>
      <c r="C60" s="250">
        <f t="shared" si="15"/>
        <v>0</v>
      </c>
      <c r="D60" s="245">
        <f>+'[3]PROYECCIÓN CIERRE 2021 (2)'!D55</f>
        <v>0</v>
      </c>
      <c r="E60" s="246">
        <v>0</v>
      </c>
      <c r="F60" s="245">
        <f>+D60*1.0167</f>
        <v>0</v>
      </c>
      <c r="G60" s="245">
        <f t="shared" si="17"/>
        <v>0</v>
      </c>
      <c r="H60" s="243"/>
      <c r="I60" s="243"/>
    </row>
    <row r="61" spans="2:9" ht="15">
      <c r="B61" s="245" t="str">
        <f>+'[3]PROYECCIÓN CIERRE 2021'!A56</f>
        <v>HORECA</v>
      </c>
      <c r="C61" s="250">
        <f t="shared" si="15"/>
        <v>0.06935135510127508</v>
      </c>
      <c r="D61" s="245">
        <f>+'[3]PROYECCIÓN CIERRE 2021 (2)'!D56</f>
        <v>37725235.96501525</v>
      </c>
      <c r="E61" s="246">
        <f t="shared" si="16"/>
        <v>0.1499999999999999</v>
      </c>
      <c r="F61" s="245">
        <f>+D61*1.15</f>
        <v>43384021.359767534</v>
      </c>
      <c r="G61" s="245">
        <f t="shared" si="17"/>
        <v>5658785.394752286</v>
      </c>
      <c r="H61" s="243"/>
      <c r="I61" s="243"/>
    </row>
    <row r="62" spans="2:9" ht="15">
      <c r="B62" s="245" t="str">
        <f>+'[3]PROYECCIÓN CIERRE 2021'!A57</f>
        <v>INDUSTRIA</v>
      </c>
      <c r="C62" s="250">
        <f t="shared" si="15"/>
        <v>0.2751096842441089</v>
      </c>
      <c r="D62" s="245">
        <f>+'[3]PROYECCIÓN CIERRE 2021 (2)'!D57</f>
        <v>156454495.7025633</v>
      </c>
      <c r="E62" s="246">
        <f t="shared" si="16"/>
        <v>0.10000000000000009</v>
      </c>
      <c r="F62" s="245">
        <f>+D62*1.1</f>
        <v>172099945.27281964</v>
      </c>
      <c r="G62" s="245">
        <f t="shared" si="17"/>
        <v>15645449.570256352</v>
      </c>
      <c r="H62" s="243"/>
      <c r="I62" s="243"/>
    </row>
    <row r="63" spans="2:9" ht="15">
      <c r="B63" s="245" t="str">
        <f>+'[3]PROYECCIÓN CIERRE 2021'!A58</f>
        <v>SEMILLERISTA</v>
      </c>
      <c r="C63" s="250">
        <f t="shared" si="15"/>
        <v>0.0026724661780640306</v>
      </c>
      <c r="D63" s="245">
        <f>+'[3]PROYECCIÓN CIERRE 2021 (2)'!D58</f>
        <v>1592200.560026459</v>
      </c>
      <c r="E63" s="246">
        <f t="shared" si="16"/>
        <v>0.050000000000000044</v>
      </c>
      <c r="F63" s="245">
        <f>+D63*1.05</f>
        <v>1671810.588027782</v>
      </c>
      <c r="G63" s="245">
        <f t="shared" si="17"/>
        <v>79610.02800132311</v>
      </c>
      <c r="H63" s="243"/>
      <c r="I63" s="243"/>
    </row>
    <row r="64" spans="2:9" s="241" customFormat="1" ht="15">
      <c r="B64" s="242" t="s">
        <v>28</v>
      </c>
      <c r="C64" s="247">
        <f>SUM(C57:C63)</f>
        <v>0.9999999999999999</v>
      </c>
      <c r="D64" s="248">
        <f>SUM(D57:D63)</f>
        <v>495061083.9734678</v>
      </c>
      <c r="E64" s="249">
        <f>+(F64-D64)/D64</f>
        <v>0.26361876130430834</v>
      </c>
      <c r="F64" s="248">
        <f>SUM(F57:F63)</f>
        <v>625568473.7005216</v>
      </c>
      <c r="G64" s="248">
        <f>+F64-D64</f>
        <v>130507389.72705376</v>
      </c>
      <c r="H64" s="243"/>
      <c r="I64" s="243"/>
    </row>
    <row r="65" spans="8:9" ht="15">
      <c r="H65" s="243"/>
      <c r="I65" s="243"/>
    </row>
    <row r="66" spans="2:9" s="241" customFormat="1" ht="30.75">
      <c r="B66" s="242" t="s">
        <v>188</v>
      </c>
      <c r="C66" s="242" t="str">
        <f>+C6</f>
        <v>% Participación por Canal</v>
      </c>
      <c r="D66" s="242" t="str">
        <f>+D6</f>
        <v>Proyectado 2021</v>
      </c>
      <c r="E66" s="242" t="str">
        <f>+E6</f>
        <v>% Gestión 2022</v>
      </c>
      <c r="F66" s="242" t="str">
        <f>+F6</f>
        <v>Meta 2022</v>
      </c>
      <c r="G66" s="242" t="str">
        <f>+G6</f>
        <v>Diferencia</v>
      </c>
      <c r="H66" s="243"/>
      <c r="I66" s="244"/>
    </row>
    <row r="67" spans="2:9" ht="15">
      <c r="B67" s="245" t="str">
        <f>+'[3]PROYECCIÓN CIERRE 2021'!A62</f>
        <v>CENTRAL DE ABASTOS</v>
      </c>
      <c r="C67" s="250">
        <f>+F67/$F$74</f>
        <v>0.23284339169322776</v>
      </c>
      <c r="D67" s="245">
        <f>+'[3]PROYECCIÓN CIERRE 2021 (2)'!D62</f>
        <v>22574426.90918806</v>
      </c>
      <c r="E67" s="246">
        <f>(F67/D67)-100%</f>
        <v>0.6000000000000001</v>
      </c>
      <c r="F67" s="245">
        <f>+D67*1.6</f>
        <v>36119083.054700896</v>
      </c>
      <c r="G67" s="245">
        <f>+F67-D67</f>
        <v>13544656.145512838</v>
      </c>
      <c r="H67" s="243"/>
      <c r="I67" s="243"/>
    </row>
    <row r="68" spans="2:9" ht="15">
      <c r="B68" s="245" t="str">
        <f>+'[3]PROYECCIÓN CIERRE 2021'!A63</f>
        <v>COMERCIALIZADOR</v>
      </c>
      <c r="C68" s="250">
        <f aca="true" t="shared" si="18" ref="C68:C73">+F68/$F$74</f>
        <v>0.007378793890073735</v>
      </c>
      <c r="D68" s="245">
        <f>+'[3]PROYECCIÓN CIERRE 2021 (2)'!D63</f>
        <v>673300.9973709707</v>
      </c>
      <c r="E68" s="246">
        <f>(F68/D68)-100%</f>
        <v>0.7000000000000002</v>
      </c>
      <c r="F68" s="245">
        <f>+D68*1.7</f>
        <v>1144611.6955306502</v>
      </c>
      <c r="G68" s="245">
        <f aca="true" t="shared" si="19" ref="G68:G73">+F68-D68</f>
        <v>471310.69815967954</v>
      </c>
      <c r="H68" s="243"/>
      <c r="I68" s="243"/>
    </row>
    <row r="69" spans="2:9" ht="15">
      <c r="B69" s="245" t="str">
        <f>+'[3]PROYECCIÓN CIERRE 2021'!A64</f>
        <v>FRUVER</v>
      </c>
      <c r="C69" s="250">
        <f t="shared" si="18"/>
        <v>0.35251622801209503</v>
      </c>
      <c r="D69" s="245">
        <f>+'[3]PROYECCIÓN CIERRE 2021 (2)'!D64</f>
        <v>52078997.43096301</v>
      </c>
      <c r="E69" s="246">
        <f>(F69/D69)-100%</f>
        <v>0.050000000000000044</v>
      </c>
      <c r="F69" s="245">
        <f>+D69*1.05</f>
        <v>54682947.30251116</v>
      </c>
      <c r="G69" s="245">
        <f t="shared" si="19"/>
        <v>2603949.8715481535</v>
      </c>
      <c r="H69" s="243"/>
      <c r="I69" s="243"/>
    </row>
    <row r="70" spans="2:9" ht="15">
      <c r="B70" s="245" t="str">
        <f>+'[3]PROYECCIÓN CIERRE 2021'!A65</f>
        <v>GRANDES SUPERFICIES</v>
      </c>
      <c r="C70" s="250">
        <f t="shared" si="18"/>
        <v>0</v>
      </c>
      <c r="D70" s="245">
        <f>+'[3]PROYECCIÓN CIERRE 2021 (2)'!D65</f>
        <v>0</v>
      </c>
      <c r="E70" s="246">
        <v>0</v>
      </c>
      <c r="F70" s="245">
        <f>+D70*1</f>
        <v>0</v>
      </c>
      <c r="G70" s="245">
        <f t="shared" si="19"/>
        <v>0</v>
      </c>
      <c r="H70" s="243"/>
      <c r="I70" s="243"/>
    </row>
    <row r="71" spans="2:9" ht="15">
      <c r="B71" s="245" t="str">
        <f>+'[3]PROYECCIÓN CIERRE 2021'!A66</f>
        <v>HORECA</v>
      </c>
      <c r="C71" s="250">
        <f t="shared" si="18"/>
        <v>0.12114541938069068</v>
      </c>
      <c r="D71" s="245">
        <f>+'[3]PROYECCIÓN CIERRE 2021 (2)'!D66</f>
        <v>15660244.970120989</v>
      </c>
      <c r="E71" s="246">
        <f>(F71/D71)-100%</f>
        <v>0.19999999999999996</v>
      </c>
      <c r="F71" s="245">
        <f>+D71*1.2</f>
        <v>18792293.964145187</v>
      </c>
      <c r="G71" s="245">
        <f t="shared" si="19"/>
        <v>3132048.9940241985</v>
      </c>
      <c r="H71" s="243"/>
      <c r="I71" s="243"/>
    </row>
    <row r="72" spans="2:9" ht="15">
      <c r="B72" s="245" t="str">
        <f>+'[3]PROYECCIÓN CIERRE 2021'!A67</f>
        <v>INDUSTRIA</v>
      </c>
      <c r="C72" s="250">
        <f t="shared" si="18"/>
        <v>0.2861161670239127</v>
      </c>
      <c r="D72" s="245">
        <f>+'[3]PROYECCIÓN CIERRE 2021 (2)'!D67</f>
        <v>38593783.628293455</v>
      </c>
      <c r="E72" s="246">
        <f>(F72/D72)-100%</f>
        <v>0.1499999999999999</v>
      </c>
      <c r="F72" s="245">
        <f>+D72*1.15</f>
        <v>44382851.17253747</v>
      </c>
      <c r="G72" s="245">
        <f t="shared" si="19"/>
        <v>5789067.544244014</v>
      </c>
      <c r="H72" s="243"/>
      <c r="I72" s="243"/>
    </row>
    <row r="73" spans="2:9" ht="15">
      <c r="B73" s="245" t="str">
        <f>+'[3]PROYECCIÓN CIERRE 2021'!A68</f>
        <v>SEMILLERISTA</v>
      </c>
      <c r="C73" s="250">
        <f t="shared" si="18"/>
        <v>0</v>
      </c>
      <c r="D73" s="245">
        <f>+'[3]PROYECCIÓN CIERRE 2021 (2)'!D68</f>
        <v>0</v>
      </c>
      <c r="E73" s="246">
        <v>0</v>
      </c>
      <c r="F73" s="245">
        <f>+D73*1.15</f>
        <v>0</v>
      </c>
      <c r="G73" s="245">
        <f t="shared" si="19"/>
        <v>0</v>
      </c>
      <c r="H73" s="243"/>
      <c r="I73" s="243"/>
    </row>
    <row r="74" spans="2:9" s="241" customFormat="1" ht="15">
      <c r="B74" s="242" t="s">
        <v>28</v>
      </c>
      <c r="C74" s="247">
        <f>SUM(C67:C73)</f>
        <v>1</v>
      </c>
      <c r="D74" s="248">
        <f>SUM(D67:D73)</f>
        <v>129580753.93593648</v>
      </c>
      <c r="E74" s="249">
        <f>+(F74-D74)/D74</f>
        <v>0.19710514468928114</v>
      </c>
      <c r="F74" s="248">
        <f>SUM(F67:F73)</f>
        <v>155121787.18942538</v>
      </c>
      <c r="G74" s="248">
        <f>+F74-D74</f>
        <v>25541033.2534889</v>
      </c>
      <c r="H74" s="243"/>
      <c r="I74" s="243"/>
    </row>
    <row r="75" spans="8:9" ht="15">
      <c r="H75" s="243"/>
      <c r="I75" s="243"/>
    </row>
    <row r="76" spans="2:9" s="241" customFormat="1" ht="30.75">
      <c r="B76" s="242" t="s">
        <v>189</v>
      </c>
      <c r="C76" s="242" t="str">
        <f>+C6</f>
        <v>% Participación por Canal</v>
      </c>
      <c r="D76" s="242" t="str">
        <f>+D6</f>
        <v>Proyectado 2021</v>
      </c>
      <c r="E76" s="242" t="str">
        <f>+E6</f>
        <v>% Gestión 2022</v>
      </c>
      <c r="F76" s="242" t="str">
        <f>+F6</f>
        <v>Meta 2022</v>
      </c>
      <c r="G76" s="242" t="str">
        <f>+G6</f>
        <v>Diferencia</v>
      </c>
      <c r="H76" s="243"/>
      <c r="I76" s="244"/>
    </row>
    <row r="77" spans="2:9" ht="15">
      <c r="B77" s="245" t="str">
        <f>+'[3]PROYECCIÓN CIERRE 2021'!A72</f>
        <v>CENTRAL DE ABASTOS</v>
      </c>
      <c r="C77" s="250">
        <f aca="true" t="shared" si="20" ref="C77:C83">+F77/$F$84</f>
        <v>0.05884021325919088</v>
      </c>
      <c r="D77" s="245">
        <f>+'[3]PROYECCIÓN CIERRE 2021 (2)'!D72</f>
        <v>4683909.571408116</v>
      </c>
      <c r="E77" s="246">
        <f>(F77/D77)-100%</f>
        <v>0.10000000000000009</v>
      </c>
      <c r="F77" s="245">
        <f>+D77*1.1</f>
        <v>5152300.528548928</v>
      </c>
      <c r="G77" s="245">
        <f aca="true" t="shared" si="21" ref="G77:G84">+F77-D77</f>
        <v>468390.9571408117</v>
      </c>
      <c r="H77" s="243"/>
      <c r="I77" s="243"/>
    </row>
    <row r="78" spans="2:9" ht="15">
      <c r="B78" s="245" t="str">
        <f>+'[3]PROYECCIÓN CIERRE 2021'!A73</f>
        <v>COMERCIALIZADOR</v>
      </c>
      <c r="C78" s="250">
        <f t="shared" si="20"/>
        <v>0.18272683809227938</v>
      </c>
      <c r="D78" s="245">
        <f>+'[3]PROYECCIÓN CIERRE 2021 (2)'!D73</f>
        <v>10000214.270296134</v>
      </c>
      <c r="E78" s="246">
        <f aca="true" t="shared" si="22" ref="E78:E83">(F78/D78)-100%</f>
        <v>0.6000000000000001</v>
      </c>
      <c r="F78" s="245">
        <f>+D78*1.6</f>
        <v>16000342.832473814</v>
      </c>
      <c r="G78" s="245">
        <f t="shared" si="21"/>
        <v>6000128.56217768</v>
      </c>
      <c r="H78" s="243"/>
      <c r="I78" s="243"/>
    </row>
    <row r="79" spans="2:9" ht="15">
      <c r="B79" s="245" t="str">
        <f>+'[3]PROYECCIÓN CIERRE 2021'!A74</f>
        <v>FRUVER</v>
      </c>
      <c r="C79" s="250">
        <f t="shared" si="20"/>
        <v>0.3588619357177068</v>
      </c>
      <c r="D79" s="245">
        <f>+'[3]PROYECCIÓN CIERRE 2021 (2)'!D74</f>
        <v>29927128.285382643</v>
      </c>
      <c r="E79" s="246">
        <f t="shared" si="22"/>
        <v>0.050000000000000044</v>
      </c>
      <c r="F79" s="245">
        <f>+D79*1.05</f>
        <v>31423484.699651778</v>
      </c>
      <c r="G79" s="245">
        <f t="shared" si="21"/>
        <v>1496356.4142691344</v>
      </c>
      <c r="H79" s="243"/>
      <c r="I79" s="243"/>
    </row>
    <row r="80" spans="2:9" ht="15">
      <c r="B80" s="245" t="str">
        <f>+'[3]PROYECCIÓN CIERRE 2021'!A75</f>
        <v>GRANDES SUPERFICIES</v>
      </c>
      <c r="C80" s="250">
        <f t="shared" si="20"/>
        <v>0</v>
      </c>
      <c r="D80" s="245">
        <f>+'[3]PROYECCIÓN CIERRE 2021 (2)'!D75</f>
        <v>0</v>
      </c>
      <c r="E80" s="246">
        <v>0</v>
      </c>
      <c r="F80" s="245">
        <f>+D80*1.0167</f>
        <v>0</v>
      </c>
      <c r="G80" s="245">
        <f t="shared" si="21"/>
        <v>0</v>
      </c>
      <c r="H80" s="243"/>
      <c r="I80" s="243"/>
    </row>
    <row r="81" spans="2:9" ht="15">
      <c r="B81" s="245" t="str">
        <f>+'[3]PROYECCIÓN CIERRE 2021'!A76</f>
        <v>HORECA</v>
      </c>
      <c r="C81" s="250">
        <f t="shared" si="20"/>
        <v>0.34180704168210274</v>
      </c>
      <c r="D81" s="245">
        <f>+'[3]PROYECCIÓN CIERRE 2021 (2)'!D76</f>
        <v>27209168.44840663</v>
      </c>
      <c r="E81" s="246">
        <f t="shared" si="22"/>
        <v>0.10000000000000009</v>
      </c>
      <c r="F81" s="245">
        <f>+D81*1.1</f>
        <v>29930085.293247294</v>
      </c>
      <c r="G81" s="245">
        <f t="shared" si="21"/>
        <v>2720916.8448406644</v>
      </c>
      <c r="H81" s="243"/>
      <c r="I81" s="243"/>
    </row>
    <row r="82" spans="2:9" ht="15">
      <c r="B82" s="245" t="str">
        <f>+'[3]PROYECCIÓN CIERRE 2021'!A77</f>
        <v>INDUSTRIA</v>
      </c>
      <c r="C82" s="250">
        <f t="shared" si="20"/>
        <v>0.055137329232279986</v>
      </c>
      <c r="D82" s="245">
        <f>+'[3]PROYECCIÓN CIERRE 2021 (2)'!D77</f>
        <v>3713892.445197474</v>
      </c>
      <c r="E82" s="246">
        <f t="shared" si="22"/>
        <v>0.30000000000000004</v>
      </c>
      <c r="F82" s="245">
        <f>+D82*1.3</f>
        <v>4828060.178756717</v>
      </c>
      <c r="G82" s="245">
        <f t="shared" si="21"/>
        <v>1114167.7335592424</v>
      </c>
      <c r="H82" s="243"/>
      <c r="I82" s="243"/>
    </row>
    <row r="83" spans="2:9" ht="15">
      <c r="B83" s="245" t="str">
        <f>+'[3]PROYECCIÓN CIERRE 2021'!A78</f>
        <v>SEMILLERISTA</v>
      </c>
      <c r="C83" s="250">
        <f t="shared" si="20"/>
        <v>0.0026266420164402456</v>
      </c>
      <c r="D83" s="245">
        <f>+'[3]PROYECCIÓN CIERRE 2021 (2)'!D78</f>
        <v>200000</v>
      </c>
      <c r="E83" s="246">
        <f t="shared" si="22"/>
        <v>0.1499999999999999</v>
      </c>
      <c r="F83" s="245">
        <f>+D83*1.15</f>
        <v>229999.99999999997</v>
      </c>
      <c r="G83" s="245">
        <f t="shared" si="21"/>
        <v>29999.99999999997</v>
      </c>
      <c r="H83" s="243"/>
      <c r="I83" s="243"/>
    </row>
    <row r="84" spans="2:9" s="241" customFormat="1" ht="15">
      <c r="B84" s="242" t="s">
        <v>28</v>
      </c>
      <c r="C84" s="247">
        <f>SUM(C77:C83)</f>
        <v>1</v>
      </c>
      <c r="D84" s="248">
        <f>SUM(D77:D83)</f>
        <v>75734313.02069099</v>
      </c>
      <c r="E84" s="249">
        <f>+(F84-D84)/D84</f>
        <v>0.15620344385715274</v>
      </c>
      <c r="F84" s="248">
        <f>SUM(F77:F83)</f>
        <v>87564273.53267853</v>
      </c>
      <c r="G84" s="248">
        <f t="shared" si="21"/>
        <v>11829960.511987537</v>
      </c>
      <c r="H84" s="243"/>
      <c r="I84" s="243"/>
    </row>
    <row r="86" spans="2:9" s="241" customFormat="1" ht="30.75">
      <c r="B86" s="242" t="s">
        <v>315</v>
      </c>
      <c r="C86" s="242" t="str">
        <f>+C6</f>
        <v>% Participación por Canal</v>
      </c>
      <c r="D86" s="242" t="str">
        <f>+D6</f>
        <v>Proyectado 2021</v>
      </c>
      <c r="E86" s="242" t="str">
        <f>+E6</f>
        <v>% Gestión 2022</v>
      </c>
      <c r="F86" s="242" t="str">
        <f>+F6</f>
        <v>Meta 2022</v>
      </c>
      <c r="G86" s="242" t="str">
        <f>+G6</f>
        <v>Diferencia</v>
      </c>
      <c r="H86" s="243"/>
      <c r="I86" s="244"/>
    </row>
    <row r="87" spans="2:9" ht="15">
      <c r="B87" s="245" t="s">
        <v>284</v>
      </c>
      <c r="C87" s="250">
        <f aca="true" t="shared" si="23" ref="C87:C93">+F87/$F$94</f>
        <v>0.004820645603510138</v>
      </c>
      <c r="D87" s="245">
        <f>+'[3]PROYECCIÓN CIERRE 2021 (2)'!D82</f>
        <v>735576.0155175499</v>
      </c>
      <c r="E87" s="246">
        <f>(F87/D87)-100%</f>
        <v>0.016699999999999937</v>
      </c>
      <c r="F87" s="245">
        <f>+D87*1.0167</f>
        <v>747860.134976693</v>
      </c>
      <c r="G87" s="245">
        <f aca="true" t="shared" si="24" ref="G87:G94">+F87-D87</f>
        <v>12284.119459143025</v>
      </c>
      <c r="H87" s="243"/>
      <c r="I87" s="243"/>
    </row>
    <row r="88" spans="2:9" ht="15">
      <c r="B88" s="245" t="s">
        <v>285</v>
      </c>
      <c r="C88" s="250">
        <f t="shared" si="23"/>
        <v>0.05411981392921153</v>
      </c>
      <c r="D88" s="245">
        <f>+'[3]PROYECCIÓN CIERRE 2021 (2)'!D83</f>
        <v>4938812.652536023</v>
      </c>
      <c r="E88" s="246">
        <f>(F88/D88)-100%</f>
        <v>0.7000000000000002</v>
      </c>
      <c r="F88" s="245">
        <f>+D88*1.7</f>
        <v>8395981.50931124</v>
      </c>
      <c r="G88" s="245">
        <f t="shared" si="24"/>
        <v>3457168.8567752168</v>
      </c>
      <c r="H88" s="243"/>
      <c r="I88" s="243"/>
    </row>
    <row r="89" spans="2:9" ht="15">
      <c r="B89" s="245" t="s">
        <v>279</v>
      </c>
      <c r="C89" s="250">
        <f t="shared" si="23"/>
        <v>0.8861637305906678</v>
      </c>
      <c r="D89" s="245">
        <f>+'[3]PROYECCIÓN CIERRE 2021 (2)'!D84</f>
        <v>105751320.09583375</v>
      </c>
      <c r="E89" s="246">
        <f>(F89/D89)-100%</f>
        <v>0.30000000000000004</v>
      </c>
      <c r="F89" s="245">
        <f>+D89*1.3</f>
        <v>137476716.12458387</v>
      </c>
      <c r="G89" s="245">
        <f t="shared" si="24"/>
        <v>31725396.02875012</v>
      </c>
      <c r="H89" s="243"/>
      <c r="I89" s="243"/>
    </row>
    <row r="90" spans="2:9" ht="15">
      <c r="B90" s="245" t="s">
        <v>280</v>
      </c>
      <c r="C90" s="250">
        <f t="shared" si="23"/>
        <v>0</v>
      </c>
      <c r="D90" s="245">
        <f>+'[3]PROYECCIÓN CIERRE 2021 (2)'!D85</f>
        <v>0</v>
      </c>
      <c r="E90" s="246">
        <v>0</v>
      </c>
      <c r="F90" s="245">
        <f>+D90*1.0167</f>
        <v>0</v>
      </c>
      <c r="G90" s="245">
        <f t="shared" si="24"/>
        <v>0</v>
      </c>
      <c r="H90" s="243"/>
      <c r="I90" s="243"/>
    </row>
    <row r="91" spans="2:9" ht="15">
      <c r="B91" s="245" t="s">
        <v>281</v>
      </c>
      <c r="C91" s="250">
        <f t="shared" si="23"/>
        <v>0.05489580987661047</v>
      </c>
      <c r="D91" s="245">
        <f>+'[3]PROYECCIÓN CIERRE 2021 (2)'!D86</f>
        <v>6551051.641790813</v>
      </c>
      <c r="E91" s="246">
        <f>(F91/D91)-100%</f>
        <v>0.2999999999999998</v>
      </c>
      <c r="F91" s="245">
        <f>+D91*1.3</f>
        <v>8516367.134328056</v>
      </c>
      <c r="G91" s="245">
        <f t="shared" si="24"/>
        <v>1965315.4925372433</v>
      </c>
      <c r="H91" s="243"/>
      <c r="I91" s="243"/>
    </row>
    <row r="92" spans="2:9" ht="15">
      <c r="B92" s="245" t="s">
        <v>282</v>
      </c>
      <c r="C92" s="250">
        <f t="shared" si="23"/>
        <v>0</v>
      </c>
      <c r="D92" s="245">
        <f>+'[3]PROYECCIÓN CIERRE 2021 (2)'!D87</f>
        <v>0</v>
      </c>
      <c r="E92" s="246">
        <v>0</v>
      </c>
      <c r="F92" s="245">
        <f>+D92*1.0167</f>
        <v>0</v>
      </c>
      <c r="G92" s="245">
        <f t="shared" si="24"/>
        <v>0</v>
      </c>
      <c r="H92" s="243"/>
      <c r="I92" s="243"/>
    </row>
    <row r="93" spans="2:9" ht="15">
      <c r="B93" s="245" t="s">
        <v>283</v>
      </c>
      <c r="C93" s="250">
        <f t="shared" si="23"/>
        <v>0</v>
      </c>
      <c r="D93" s="245">
        <f>+'[3]PROYECCIÓN CIERRE 2021 (2)'!D88</f>
        <v>0</v>
      </c>
      <c r="E93" s="246">
        <v>0</v>
      </c>
      <c r="F93" s="245">
        <f>+D93*1.0167</f>
        <v>0</v>
      </c>
      <c r="G93" s="245">
        <f t="shared" si="24"/>
        <v>0</v>
      </c>
      <c r="H93" s="243"/>
      <c r="I93" s="243"/>
    </row>
    <row r="94" spans="2:9" s="241" customFormat="1" ht="15">
      <c r="B94" s="242" t="s">
        <v>28</v>
      </c>
      <c r="C94" s="247">
        <f>SUM(C87:C93)</f>
        <v>0.9999999999999999</v>
      </c>
      <c r="D94" s="248">
        <f>SUM(D87:D93)</f>
        <v>117976760.40567812</v>
      </c>
      <c r="E94" s="249">
        <f>+(F94-D94)/D94</f>
        <v>0.3149786819856877</v>
      </c>
      <c r="F94" s="248">
        <f>SUM(F87:F93)</f>
        <v>155136924.90319988</v>
      </c>
      <c r="G94" s="248">
        <f t="shared" si="24"/>
        <v>37160164.49752176</v>
      </c>
      <c r="H94" s="243"/>
      <c r="I94" s="243"/>
    </row>
    <row r="96" spans="2:9" s="241" customFormat="1" ht="30.75">
      <c r="B96" s="242" t="s">
        <v>316</v>
      </c>
      <c r="C96" s="242" t="str">
        <f>+C6</f>
        <v>% Participación por Canal</v>
      </c>
      <c r="D96" s="242" t="str">
        <f>+D6</f>
        <v>Proyectado 2021</v>
      </c>
      <c r="E96" s="242" t="str">
        <f>+E6</f>
        <v>% Gestión 2022</v>
      </c>
      <c r="F96" s="242" t="str">
        <f>+F6</f>
        <v>Meta 2022</v>
      </c>
      <c r="G96" s="242" t="str">
        <f>+G6</f>
        <v>Diferencia</v>
      </c>
      <c r="H96" s="243"/>
      <c r="I96" s="244"/>
    </row>
    <row r="97" spans="2:9" ht="15">
      <c r="B97" s="245" t="s">
        <v>284</v>
      </c>
      <c r="C97" s="250">
        <f aca="true" t="shared" si="25" ref="C97:C103">+F97/$F$104</f>
        <v>0</v>
      </c>
      <c r="D97" s="245">
        <f>+'[3]PROYECCIÓN CIERRE 2021 (2)'!D92</f>
        <v>0</v>
      </c>
      <c r="E97" s="246">
        <v>0</v>
      </c>
      <c r="F97" s="245">
        <f>+D97*1.0167</f>
        <v>0</v>
      </c>
      <c r="G97" s="245">
        <f aca="true" t="shared" si="26" ref="G97:G103">+F97-D97</f>
        <v>0</v>
      </c>
      <c r="H97" s="243"/>
      <c r="I97" s="243"/>
    </row>
    <row r="98" spans="2:9" ht="15">
      <c r="B98" s="245" t="s">
        <v>285</v>
      </c>
      <c r="C98" s="250">
        <f t="shared" si="25"/>
        <v>0.00874036897950691</v>
      </c>
      <c r="D98" s="245">
        <f>+'[3]PROYECCIÓN CIERRE 2021 (2)'!D93</f>
        <v>3427119.1032401323</v>
      </c>
      <c r="E98" s="246">
        <f>(F98/D98)-100%</f>
        <v>0.3999999999999999</v>
      </c>
      <c r="F98" s="245">
        <f>+D98*1.4</f>
        <v>4797966.744536185</v>
      </c>
      <c r="G98" s="245">
        <f t="shared" si="26"/>
        <v>1370847.6412960524</v>
      </c>
      <c r="H98" s="243"/>
      <c r="I98" s="243"/>
    </row>
    <row r="99" spans="2:9" ht="15">
      <c r="B99" s="245" t="s">
        <v>279</v>
      </c>
      <c r="C99" s="250">
        <f t="shared" si="25"/>
        <v>0.06083267791383106</v>
      </c>
      <c r="D99" s="245">
        <f>+'[3]PROYECCIÓN CIERRE 2021 (2)'!D94</f>
        <v>30357899.316065088</v>
      </c>
      <c r="E99" s="246">
        <f>(F99/D99)-100%</f>
        <v>0.10000000000000009</v>
      </c>
      <c r="F99" s="245">
        <f>+D99*1.1</f>
        <v>33393689.2476716</v>
      </c>
      <c r="G99" s="245">
        <f t="shared" si="26"/>
        <v>3035789.9316065125</v>
      </c>
      <c r="H99" s="243"/>
      <c r="I99" s="243"/>
    </row>
    <row r="100" spans="2:9" ht="15">
      <c r="B100" s="245" t="s">
        <v>280</v>
      </c>
      <c r="C100" s="250">
        <f t="shared" si="25"/>
        <v>0.9054387689798228</v>
      </c>
      <c r="D100" s="245">
        <f>+'[3]PROYECCIÓN CIERRE 2021 (2)'!D95</f>
        <v>492113386.4135263</v>
      </c>
      <c r="E100" s="246">
        <f>(F100/D100)-100%</f>
        <v>0.010000000000000009</v>
      </c>
      <c r="F100" s="245">
        <f>+D100*1.01</f>
        <v>497034520.27766156</v>
      </c>
      <c r="G100" s="245">
        <f t="shared" si="26"/>
        <v>4921133.864135265</v>
      </c>
      <c r="H100" s="243"/>
      <c r="I100" s="243"/>
    </row>
    <row r="101" spans="2:9" ht="15">
      <c r="B101" s="245" t="s">
        <v>281</v>
      </c>
      <c r="C101" s="250">
        <f t="shared" si="25"/>
        <v>0.024988184126839216</v>
      </c>
      <c r="D101" s="245">
        <f>+'[3]PROYECCIÓN CIERRE 2021 (2)'!D96</f>
        <v>9144730.367640635</v>
      </c>
      <c r="E101" s="246">
        <f>(F101/D101)-100%</f>
        <v>0.5</v>
      </c>
      <c r="F101" s="245">
        <f>+D101*1.5</f>
        <v>13717095.551460952</v>
      </c>
      <c r="G101" s="245">
        <f t="shared" si="26"/>
        <v>4572365.183820317</v>
      </c>
      <c r="H101" s="243"/>
      <c r="I101" s="243"/>
    </row>
    <row r="102" spans="2:9" ht="15">
      <c r="B102" s="245" t="s">
        <v>282</v>
      </c>
      <c r="C102" s="250">
        <f t="shared" si="25"/>
        <v>0</v>
      </c>
      <c r="D102" s="245">
        <f>+'[3]PROYECCIÓN CIERRE 2021 (2)'!D97</f>
        <v>0</v>
      </c>
      <c r="E102" s="246">
        <v>0</v>
      </c>
      <c r="F102" s="245">
        <f>+D102*1.0167</f>
        <v>0</v>
      </c>
      <c r="G102" s="245">
        <f t="shared" si="26"/>
        <v>0</v>
      </c>
      <c r="H102" s="243"/>
      <c r="I102" s="243"/>
    </row>
    <row r="103" spans="2:9" ht="15">
      <c r="B103" s="245" t="s">
        <v>283</v>
      </c>
      <c r="C103" s="250">
        <f t="shared" si="25"/>
        <v>0</v>
      </c>
      <c r="D103" s="245">
        <f>+'[3]PROYECCIÓN CIERRE 2021 (2)'!D98</f>
        <v>0</v>
      </c>
      <c r="E103" s="246">
        <v>0</v>
      </c>
      <c r="F103" s="245">
        <f>+D103*1.0167</f>
        <v>0</v>
      </c>
      <c r="G103" s="245">
        <f t="shared" si="26"/>
        <v>0</v>
      </c>
      <c r="H103" s="243"/>
      <c r="I103" s="243"/>
    </row>
    <row r="104" spans="2:9" s="241" customFormat="1" ht="15">
      <c r="B104" s="242" t="s">
        <v>28</v>
      </c>
      <c r="C104" s="247">
        <f>SUM(C97:C103)</f>
        <v>1</v>
      </c>
      <c r="D104" s="248">
        <f>SUM(D97:D103)</f>
        <v>535043135.2004721</v>
      </c>
      <c r="E104" s="249">
        <f>+(F104-D104)/D104</f>
        <v>0.02597946914252069</v>
      </c>
      <c r="F104" s="248">
        <f>SUM(F97:F103)</f>
        <v>548943271.8213303</v>
      </c>
      <c r="G104" s="248">
        <f>+F104-D104</f>
        <v>13900136.620858192</v>
      </c>
      <c r="H104" s="243"/>
      <c r="I104" s="243"/>
    </row>
    <row r="106" spans="3:9" s="241" customFormat="1" ht="15">
      <c r="C106" s="251"/>
      <c r="D106" s="248">
        <f>+D14+D24+D34+D44+D54+D64+D74+D84+D94+D104</f>
        <v>5692639482.998345</v>
      </c>
      <c r="E106" s="251"/>
      <c r="F106" s="248">
        <f>+F14+F24+F34+F44+F54+F64+F74+F84+F94+F104</f>
        <v>6352062783.487215</v>
      </c>
      <c r="G106" s="248">
        <f>+F106-D106</f>
        <v>659423300.4888697</v>
      </c>
      <c r="H106" s="243"/>
      <c r="I106" s="252"/>
    </row>
    <row r="107" spans="6:7" ht="15">
      <c r="F107" s="253"/>
      <c r="G107" s="254"/>
    </row>
    <row r="108" spans="2:16" s="241" customFormat="1" ht="15">
      <c r="B108" s="242" t="s">
        <v>168</v>
      </c>
      <c r="C108" s="242" t="s">
        <v>167</v>
      </c>
      <c r="D108" s="242" t="s">
        <v>323</v>
      </c>
      <c r="E108" s="242" t="s">
        <v>324</v>
      </c>
      <c r="F108" s="242" t="s">
        <v>325</v>
      </c>
      <c r="G108" s="242" t="str">
        <f>+G6</f>
        <v>Diferencia</v>
      </c>
      <c r="H108" s="242" t="s">
        <v>258</v>
      </c>
      <c r="I108" s="242" t="s">
        <v>28</v>
      </c>
      <c r="J108" s="242" t="s">
        <v>167</v>
      </c>
      <c r="L108" s="255"/>
      <c r="M108" s="256"/>
      <c r="P108" s="253"/>
    </row>
    <row r="109" spans="2:17" ht="15">
      <c r="B109" s="245" t="s">
        <v>169</v>
      </c>
      <c r="C109" s="246">
        <f>+D109/$D$119</f>
        <v>0.22555419899122164</v>
      </c>
      <c r="D109" s="245">
        <f>+F14</f>
        <v>1432734433.0714085</v>
      </c>
      <c r="E109" s="245">
        <f>+D14</f>
        <v>1389977960.4288013</v>
      </c>
      <c r="F109" s="246">
        <f aca="true" t="shared" si="27" ref="F109:F118">+(D109-E109)/E109</f>
        <v>0.030760539994042102</v>
      </c>
      <c r="G109" s="245">
        <f>+D109-E109</f>
        <v>42756472.64260721</v>
      </c>
      <c r="H109" s="245">
        <v>3886264.678915295</v>
      </c>
      <c r="I109" s="245">
        <f aca="true" t="shared" si="28" ref="I109:I118">+D109+H109</f>
        <v>1436620697.7503238</v>
      </c>
      <c r="J109" s="246">
        <f>+I109/$I$119</f>
        <v>0.21215563673835353</v>
      </c>
      <c r="K109" s="253"/>
      <c r="L109" s="257"/>
      <c r="M109" s="258"/>
      <c r="O109" s="258"/>
      <c r="P109" s="253"/>
      <c r="Q109" s="259"/>
    </row>
    <row r="110" spans="2:17" ht="15">
      <c r="B110" s="245" t="s">
        <v>153</v>
      </c>
      <c r="C110" s="246">
        <f aca="true" t="shared" si="29" ref="C110:C118">+D110/$D$119</f>
        <v>0.02790350515096097</v>
      </c>
      <c r="D110" s="245">
        <f>+F24</f>
        <v>177244816.598263</v>
      </c>
      <c r="E110" s="245">
        <f>+D24</f>
        <v>137728135.6113055</v>
      </c>
      <c r="F110" s="246">
        <f t="shared" si="27"/>
        <v>0.28691799835642107</v>
      </c>
      <c r="G110" s="245">
        <f aca="true" t="shared" si="30" ref="G110:G118">+D110-E110</f>
        <v>39516680.98695749</v>
      </c>
      <c r="H110" s="245">
        <v>977663.9488375502</v>
      </c>
      <c r="I110" s="245">
        <f t="shared" si="28"/>
        <v>178222480.54710054</v>
      </c>
      <c r="J110" s="246">
        <f aca="true" t="shared" si="31" ref="J110:J118">+I110/$I$119</f>
        <v>0.02631933669114536</v>
      </c>
      <c r="K110" s="253"/>
      <c r="L110" s="257"/>
      <c r="M110" s="258"/>
      <c r="O110" s="258"/>
      <c r="P110" s="253"/>
      <c r="Q110" s="259"/>
    </row>
    <row r="111" spans="2:17" ht="15">
      <c r="B111" s="245" t="s">
        <v>154</v>
      </c>
      <c r="C111" s="246">
        <f t="shared" si="29"/>
        <v>0.13291869317004854</v>
      </c>
      <c r="D111" s="245">
        <f>+F34</f>
        <v>844307884.1152215</v>
      </c>
      <c r="E111" s="245">
        <f>+D34</f>
        <v>818194563.0295748</v>
      </c>
      <c r="F111" s="246">
        <f t="shared" si="27"/>
        <v>0.03191578417357785</v>
      </c>
      <c r="G111" s="245">
        <f t="shared" si="30"/>
        <v>26113321.08564675</v>
      </c>
      <c r="H111" s="245">
        <v>19000958.48964511</v>
      </c>
      <c r="I111" s="245">
        <f t="shared" si="28"/>
        <v>863308842.6048666</v>
      </c>
      <c r="J111" s="246">
        <f t="shared" si="31"/>
        <v>0.12749074093913543</v>
      </c>
      <c r="K111" s="253"/>
      <c r="L111" s="257"/>
      <c r="M111" s="258"/>
      <c r="O111" s="258"/>
      <c r="P111" s="253"/>
      <c r="Q111" s="259"/>
    </row>
    <row r="112" spans="2:17" ht="15">
      <c r="B112" s="245" t="s">
        <v>155</v>
      </c>
      <c r="C112" s="246">
        <f t="shared" si="29"/>
        <v>0.1825679531356262</v>
      </c>
      <c r="D112" s="245">
        <f>+F44</f>
        <v>1159683100.5702493</v>
      </c>
      <c r="E112" s="245">
        <f>+D44</f>
        <v>996621165.3247387</v>
      </c>
      <c r="F112" s="246">
        <f t="shared" si="27"/>
        <v>0.16361476247835707</v>
      </c>
      <c r="G112" s="245">
        <f t="shared" si="30"/>
        <v>163061935.24551058</v>
      </c>
      <c r="H112" s="245">
        <v>20441620.71116237</v>
      </c>
      <c r="I112" s="245">
        <f t="shared" si="28"/>
        <v>1180124721.2814116</v>
      </c>
      <c r="J112" s="246">
        <f t="shared" si="31"/>
        <v>0.17427711578024524</v>
      </c>
      <c r="K112" s="253"/>
      <c r="L112" s="257"/>
      <c r="M112" s="258"/>
      <c r="O112" s="258"/>
      <c r="P112" s="253"/>
      <c r="Q112" s="259"/>
    </row>
    <row r="113" spans="2:17" ht="15">
      <c r="B113" s="245" t="s">
        <v>156</v>
      </c>
      <c r="C113" s="246">
        <f t="shared" si="29"/>
        <v>0.18352429088317804</v>
      </c>
      <c r="D113" s="245">
        <f>+F54</f>
        <v>1165757817.9849172</v>
      </c>
      <c r="E113" s="245">
        <f>+D54</f>
        <v>996721612.0676794</v>
      </c>
      <c r="F113" s="246">
        <f t="shared" si="27"/>
        <v>0.1695921949224874</v>
      </c>
      <c r="G113" s="245">
        <f t="shared" si="30"/>
        <v>169036205.91723776</v>
      </c>
      <c r="H113" s="245">
        <v>342159330.2468839</v>
      </c>
      <c r="I113" s="245">
        <f t="shared" si="28"/>
        <v>1507917148.231801</v>
      </c>
      <c r="J113" s="246">
        <f t="shared" si="31"/>
        <v>0.22268447282763498</v>
      </c>
      <c r="K113" s="253"/>
      <c r="L113" s="257"/>
      <c r="M113" s="258"/>
      <c r="O113" s="258"/>
      <c r="P113" s="253"/>
      <c r="Q113" s="259"/>
    </row>
    <row r="114" spans="2:17" ht="15">
      <c r="B114" s="245" t="s">
        <v>157</v>
      </c>
      <c r="C114" s="246">
        <f t="shared" si="29"/>
        <v>0.09848272837081297</v>
      </c>
      <c r="D114" s="245">
        <f>+F64</f>
        <v>625568473.7005216</v>
      </c>
      <c r="E114" s="245">
        <f>+D64</f>
        <v>495061083.9734678</v>
      </c>
      <c r="F114" s="246">
        <f t="shared" si="27"/>
        <v>0.26361876130430834</v>
      </c>
      <c r="G114" s="245">
        <f t="shared" si="30"/>
        <v>130507389.72705376</v>
      </c>
      <c r="H114" s="245">
        <v>10668809.895568352</v>
      </c>
      <c r="I114" s="245">
        <f t="shared" si="28"/>
        <v>636237283.59609</v>
      </c>
      <c r="J114" s="246">
        <f t="shared" si="31"/>
        <v>0.09395752562202597</v>
      </c>
      <c r="K114" s="253"/>
      <c r="L114" s="257"/>
      <c r="M114" s="258"/>
      <c r="O114" s="258"/>
      <c r="P114" s="253"/>
      <c r="Q114" s="259"/>
    </row>
    <row r="115" spans="2:17" ht="15">
      <c r="B115" s="245" t="s">
        <v>188</v>
      </c>
      <c r="C115" s="246">
        <f t="shared" si="29"/>
        <v>0.024420694894999945</v>
      </c>
      <c r="D115" s="245">
        <f>+F74</f>
        <v>155121787.18942538</v>
      </c>
      <c r="E115" s="245">
        <f>+D74</f>
        <v>129580753.93593648</v>
      </c>
      <c r="F115" s="246">
        <f t="shared" si="27"/>
        <v>0.19710514468928114</v>
      </c>
      <c r="G115" s="245">
        <f t="shared" si="30"/>
        <v>25541033.2534889</v>
      </c>
      <c r="H115" s="245">
        <v>4818571.6466889735</v>
      </c>
      <c r="I115" s="245">
        <f t="shared" si="28"/>
        <v>159940358.83611435</v>
      </c>
      <c r="J115" s="246">
        <f t="shared" si="31"/>
        <v>0.023619490323488167</v>
      </c>
      <c r="K115" s="253"/>
      <c r="L115" s="257"/>
      <c r="M115" s="258"/>
      <c r="O115" s="258"/>
      <c r="P115" s="253"/>
      <c r="Q115" s="259"/>
    </row>
    <row r="116" spans="2:17" ht="15">
      <c r="B116" s="245" t="s">
        <v>189</v>
      </c>
      <c r="C116" s="246">
        <f t="shared" si="29"/>
        <v>0.013785171292750774</v>
      </c>
      <c r="D116" s="245">
        <f>+F84</f>
        <v>87564273.53267853</v>
      </c>
      <c r="E116" s="245">
        <f>+D84</f>
        <v>75734313.02069099</v>
      </c>
      <c r="F116" s="246">
        <f t="shared" si="27"/>
        <v>0.15620344385715274</v>
      </c>
      <c r="G116" s="245">
        <f t="shared" si="30"/>
        <v>11829960.511987537</v>
      </c>
      <c r="H116" s="245">
        <v>14275096.044326087</v>
      </c>
      <c r="I116" s="245">
        <f t="shared" si="28"/>
        <v>101839369.57700461</v>
      </c>
      <c r="J116" s="246">
        <f t="shared" si="31"/>
        <v>0.015039318542100584</v>
      </c>
      <c r="K116" s="253"/>
      <c r="L116" s="257"/>
      <c r="M116" s="258"/>
      <c r="O116" s="258"/>
      <c r="P116" s="253"/>
      <c r="Q116" s="259"/>
    </row>
    <row r="117" spans="2:13" ht="15">
      <c r="B117" s="245" t="s">
        <v>315</v>
      </c>
      <c r="C117" s="246">
        <f t="shared" si="29"/>
        <v>0.024423078012782387</v>
      </c>
      <c r="D117" s="245">
        <f>+F94</f>
        <v>155136924.90319988</v>
      </c>
      <c r="E117" s="245">
        <f>+D94</f>
        <v>117976760.40567812</v>
      </c>
      <c r="F117" s="246">
        <f t="shared" si="27"/>
        <v>0.3149786819856877</v>
      </c>
      <c r="G117" s="245">
        <f t="shared" si="30"/>
        <v>37160164.49752176</v>
      </c>
      <c r="H117" s="245">
        <v>567491.9583191276</v>
      </c>
      <c r="I117" s="245">
        <f t="shared" si="28"/>
        <v>155704416.861519</v>
      </c>
      <c r="J117" s="246">
        <f t="shared" si="31"/>
        <v>0.02299393970444566</v>
      </c>
      <c r="K117" s="260"/>
      <c r="L117" s="257"/>
      <c r="M117" s="258"/>
    </row>
    <row r="118" spans="2:13" ht="15">
      <c r="B118" s="245" t="s">
        <v>316</v>
      </c>
      <c r="C118" s="246">
        <f t="shared" si="29"/>
        <v>0.08641968609761856</v>
      </c>
      <c r="D118" s="245">
        <f>+F104</f>
        <v>548943271.8213303</v>
      </c>
      <c r="E118" s="245">
        <f>+D104</f>
        <v>535043135.2004721</v>
      </c>
      <c r="F118" s="246">
        <f t="shared" si="27"/>
        <v>0.02597946914252069</v>
      </c>
      <c r="G118" s="245">
        <f t="shared" si="30"/>
        <v>13900136.620858192</v>
      </c>
      <c r="H118" s="245">
        <v>2682904.733407837</v>
      </c>
      <c r="I118" s="245">
        <f t="shared" si="28"/>
        <v>551626176.5547382</v>
      </c>
      <c r="J118" s="246">
        <f t="shared" si="31"/>
        <v>0.08146242283142514</v>
      </c>
      <c r="K118" s="260"/>
      <c r="L118" s="257"/>
      <c r="M118" s="258"/>
    </row>
    <row r="119" spans="2:12" s="241" customFormat="1" ht="15">
      <c r="B119" s="242" t="s">
        <v>28</v>
      </c>
      <c r="C119" s="261">
        <f>SUM(C109:C118)</f>
        <v>1.0000000000000002</v>
      </c>
      <c r="D119" s="248">
        <f>SUM(D109:D118)</f>
        <v>6352062783.487215</v>
      </c>
      <c r="E119" s="248">
        <f>SUM(E109:E118)</f>
        <v>5692639482.998345</v>
      </c>
      <c r="F119" s="249">
        <f>+(D119-E119)/E119</f>
        <v>0.11583788196289355</v>
      </c>
      <c r="G119" s="248">
        <f>+D119-E119</f>
        <v>659423300.4888697</v>
      </c>
      <c r="H119" s="248">
        <f>SUM(H109:H118)</f>
        <v>419478712.35375464</v>
      </c>
      <c r="I119" s="248">
        <f>SUM(I109:I118)</f>
        <v>6771541495.840969</v>
      </c>
      <c r="J119" s="261">
        <f>SUM(J109:J118)</f>
        <v>1</v>
      </c>
      <c r="K119" s="262"/>
      <c r="L119" s="256"/>
    </row>
    <row r="120" ht="15">
      <c r="H120" s="263"/>
    </row>
    <row r="121" spans="2:13" s="241" customFormat="1" ht="30.75">
      <c r="B121" s="242" t="s">
        <v>205</v>
      </c>
      <c r="C121" s="242" t="s">
        <v>204</v>
      </c>
      <c r="D121" s="242" t="str">
        <f>+D108</f>
        <v>META 2022</v>
      </c>
      <c r="E121" s="242" t="str">
        <f>+E108</f>
        <v>PROYECTADA 2021</v>
      </c>
      <c r="F121" s="242" t="str">
        <f>+F108</f>
        <v>% Variación 2021 - 2022</v>
      </c>
      <c r="G121" s="242" t="str">
        <f>+G6</f>
        <v>Diferencia</v>
      </c>
      <c r="H121" s="242" t="s">
        <v>286</v>
      </c>
      <c r="I121" s="242" t="s">
        <v>326</v>
      </c>
      <c r="J121" s="242" t="s">
        <v>28</v>
      </c>
      <c r="K121" s="242" t="s">
        <v>204</v>
      </c>
      <c r="L121" s="238"/>
      <c r="M121" s="256"/>
    </row>
    <row r="122" spans="2:14" ht="15">
      <c r="B122" s="245" t="str">
        <f aca="true" t="shared" si="32" ref="B122:B128">+B7</f>
        <v>CENTRAL DE ABASTOS</v>
      </c>
      <c r="C122" s="246">
        <f aca="true" t="shared" si="33" ref="C122:C128">+D122/$D$129</f>
        <v>0.17026536834398612</v>
      </c>
      <c r="D122" s="245">
        <f>+F7+F17+F27+F37+F47+F57+F67+F77+F87+F97</f>
        <v>1081536309.5745764</v>
      </c>
      <c r="E122" s="245">
        <f>+D7+D17+D27+D37+D47+D57+D67+D77+D87+D97</f>
        <v>818273137.5513988</v>
      </c>
      <c r="F122" s="246">
        <f aca="true" t="shared" si="34" ref="F122:F128">+(D122-E122)/E122</f>
        <v>0.3217301900083957</v>
      </c>
      <c r="G122" s="245">
        <f>+D122-E122</f>
        <v>263263172.02317762</v>
      </c>
      <c r="H122" s="245">
        <v>323397693.7756352</v>
      </c>
      <c r="I122" s="245">
        <f>+(H122/$H$129)*$H$119</f>
        <v>331683247.3427318</v>
      </c>
      <c r="J122" s="245">
        <f aca="true" t="shared" si="35" ref="J122:J128">+D122+I122</f>
        <v>1413219556.917308</v>
      </c>
      <c r="K122" s="246">
        <f>+J122/$J$129</f>
        <v>0.20869982968948753</v>
      </c>
      <c r="L122" s="264"/>
      <c r="M122" s="265"/>
      <c r="N122" s="254"/>
    </row>
    <row r="123" spans="2:14" ht="15">
      <c r="B123" s="245" t="str">
        <f t="shared" si="32"/>
        <v>COMERCIALIZADOR</v>
      </c>
      <c r="C123" s="246">
        <f t="shared" si="33"/>
        <v>0.11661916022359534</v>
      </c>
      <c r="D123" s="245">
        <f aca="true" t="shared" si="36" ref="D123:D128">+F8+F18+F28+F38+F48+F58+F68+F78+F88+F98</f>
        <v>740772227.4978325</v>
      </c>
      <c r="E123" s="245">
        <f aca="true" t="shared" si="37" ref="E123:E128">+D8+D18+D28+D38+D48+D58+D68+D78+D88+D98</f>
        <v>539474921.8928063</v>
      </c>
      <c r="F123" s="246">
        <f t="shared" si="34"/>
        <v>0.3731356128636208</v>
      </c>
      <c r="G123" s="245">
        <f aca="true" t="shared" si="38" ref="G123:G128">+D123-E123</f>
        <v>201297305.60502625</v>
      </c>
      <c r="H123" s="245">
        <v>26112836.50474158</v>
      </c>
      <c r="I123" s="245">
        <f aca="true" t="shared" si="39" ref="I123:I128">+(H123/$H$129)*$H$119</f>
        <v>26781855.826193437</v>
      </c>
      <c r="J123" s="245">
        <f t="shared" si="35"/>
        <v>767554083.324026</v>
      </c>
      <c r="K123" s="246">
        <f aca="true" t="shared" si="40" ref="K123:K128">+J123/$J$129</f>
        <v>0.11334997855295606</v>
      </c>
      <c r="L123" s="264"/>
      <c r="M123" s="265"/>
      <c r="N123" s="254"/>
    </row>
    <row r="124" spans="2:14" ht="15">
      <c r="B124" s="245" t="str">
        <f t="shared" si="32"/>
        <v>FRUVER</v>
      </c>
      <c r="C124" s="246">
        <f t="shared" si="33"/>
        <v>0.23020167614645287</v>
      </c>
      <c r="D124" s="245">
        <f t="shared" si="36"/>
        <v>1462255499.74626</v>
      </c>
      <c r="E124" s="245">
        <f t="shared" si="37"/>
        <v>1357287629.3199189</v>
      </c>
      <c r="F124" s="246">
        <f t="shared" si="34"/>
        <v>0.07733649681824342</v>
      </c>
      <c r="G124" s="245">
        <f t="shared" si="38"/>
        <v>104967870.42634106</v>
      </c>
      <c r="H124" s="245">
        <v>23504430.443651997</v>
      </c>
      <c r="I124" s="245">
        <f t="shared" si="39"/>
        <v>24106621.5577299</v>
      </c>
      <c r="J124" s="245">
        <f t="shared" si="35"/>
        <v>1486362121.30399</v>
      </c>
      <c r="K124" s="246">
        <f t="shared" si="40"/>
        <v>0.21950129408745445</v>
      </c>
      <c r="L124" s="264"/>
      <c r="M124" s="265"/>
      <c r="N124" s="254"/>
    </row>
    <row r="125" spans="2:14" ht="15">
      <c r="B125" s="245" t="str">
        <f t="shared" si="32"/>
        <v>GRANDES SUPERFICIES</v>
      </c>
      <c r="C125" s="246">
        <f t="shared" si="33"/>
        <v>0.15915802663136253</v>
      </c>
      <c r="D125" s="245">
        <f t="shared" si="36"/>
        <v>1010981777.658345</v>
      </c>
      <c r="E125" s="245">
        <f t="shared" si="37"/>
        <v>1000972057.0874703</v>
      </c>
      <c r="F125" s="246">
        <f t="shared" si="34"/>
        <v>0.009999999999999988</v>
      </c>
      <c r="G125" s="245">
        <f t="shared" si="38"/>
        <v>10009720.570874691</v>
      </c>
      <c r="H125" s="245">
        <v>5361107.320194752</v>
      </c>
      <c r="I125" s="245">
        <f t="shared" si="39"/>
        <v>5498460.624610227</v>
      </c>
      <c r="J125" s="245">
        <f t="shared" si="35"/>
        <v>1016480238.2829552</v>
      </c>
      <c r="K125" s="246">
        <f t="shared" si="40"/>
        <v>0.15011061202346168</v>
      </c>
      <c r="L125" s="264"/>
      <c r="M125" s="265"/>
      <c r="N125" s="254"/>
    </row>
    <row r="126" spans="2:14" ht="15">
      <c r="B126" s="245" t="str">
        <f t="shared" si="32"/>
        <v>HORECA</v>
      </c>
      <c r="C126" s="246">
        <f t="shared" si="33"/>
        <v>0.03977966762354406</v>
      </c>
      <c r="D126" s="245">
        <f t="shared" si="36"/>
        <v>252682946.25100553</v>
      </c>
      <c r="E126" s="245">
        <f t="shared" si="37"/>
        <v>217498065.22073814</v>
      </c>
      <c r="F126" s="246">
        <f t="shared" si="34"/>
        <v>0.1617710069952041</v>
      </c>
      <c r="G126" s="245">
        <f t="shared" si="38"/>
        <v>35184881.03026739</v>
      </c>
      <c r="H126" s="245">
        <v>12945878.632887026</v>
      </c>
      <c r="I126" s="245">
        <f t="shared" si="39"/>
        <v>13277556.232790796</v>
      </c>
      <c r="J126" s="245">
        <f t="shared" si="35"/>
        <v>265960502.48379633</v>
      </c>
      <c r="K126" s="246">
        <f t="shared" si="40"/>
        <v>0.03927621246168945</v>
      </c>
      <c r="L126" s="264"/>
      <c r="M126" s="265"/>
      <c r="N126" s="254"/>
    </row>
    <row r="127" spans="2:14" ht="15">
      <c r="B127" s="245" t="str">
        <f t="shared" si="32"/>
        <v>INDUSTRIA</v>
      </c>
      <c r="C127" s="246">
        <f t="shared" si="33"/>
        <v>0.2796343636932218</v>
      </c>
      <c r="D127" s="245">
        <f t="shared" si="36"/>
        <v>1776255034.5998428</v>
      </c>
      <c r="E127" s="245">
        <f t="shared" si="37"/>
        <v>1733433400.2393086</v>
      </c>
      <c r="F127" s="246">
        <f t="shared" si="34"/>
        <v>0.024703362906600544</v>
      </c>
      <c r="G127" s="245">
        <f t="shared" si="38"/>
        <v>42821634.36053419</v>
      </c>
      <c r="H127" s="245">
        <v>17635414.472960606</v>
      </c>
      <c r="I127" s="245">
        <f t="shared" si="39"/>
        <v>18087239.49863639</v>
      </c>
      <c r="J127" s="245">
        <f t="shared" si="35"/>
        <v>1794342274.0984793</v>
      </c>
      <c r="K127" s="246">
        <f t="shared" si="40"/>
        <v>0.2649828366555165</v>
      </c>
      <c r="L127" s="264"/>
      <c r="M127" s="265"/>
      <c r="N127" s="254"/>
    </row>
    <row r="128" spans="2:14" ht="15">
      <c r="B128" s="245" t="str">
        <f t="shared" si="32"/>
        <v>SEMILLERISTA</v>
      </c>
      <c r="C128" s="246">
        <f t="shared" si="33"/>
        <v>0.004341737337837322</v>
      </c>
      <c r="D128" s="245">
        <f t="shared" si="36"/>
        <v>27578988.159353312</v>
      </c>
      <c r="E128" s="245">
        <f t="shared" si="37"/>
        <v>25700271.686704718</v>
      </c>
      <c r="F128" s="246">
        <f t="shared" si="34"/>
        <v>0.07310103548907203</v>
      </c>
      <c r="G128" s="245">
        <f t="shared" si="38"/>
        <v>1878716.4726485945</v>
      </c>
      <c r="H128" s="245">
        <v>42638.84992888499</v>
      </c>
      <c r="I128" s="245">
        <f t="shared" si="39"/>
        <v>43731.27106213608</v>
      </c>
      <c r="J128" s="245">
        <f t="shared" si="35"/>
        <v>27622719.430415448</v>
      </c>
      <c r="K128" s="246">
        <f t="shared" si="40"/>
        <v>0.0040792365294344156</v>
      </c>
      <c r="L128" s="264"/>
      <c r="M128" s="265"/>
      <c r="N128" s="254"/>
    </row>
    <row r="129" spans="2:13" s="241" customFormat="1" ht="15">
      <c r="B129" s="242" t="s">
        <v>257</v>
      </c>
      <c r="C129" s="249">
        <f>SUM(C122:C128)</f>
        <v>1</v>
      </c>
      <c r="D129" s="248">
        <f>SUM(D122:D128)</f>
        <v>6352062783.487215</v>
      </c>
      <c r="E129" s="248">
        <f>SUM(E122:E128)</f>
        <v>5692639482.998345</v>
      </c>
      <c r="F129" s="249">
        <f>+(D129-E129)/E129</f>
        <v>0.11583788196289355</v>
      </c>
      <c r="G129" s="248">
        <f>+D129-E129</f>
        <v>659423300.4888697</v>
      </c>
      <c r="H129" s="248">
        <f>SUM(H122:H128)</f>
        <v>409000000</v>
      </c>
      <c r="I129" s="248">
        <f>SUM(I122:I128)</f>
        <v>419478712.35375464</v>
      </c>
      <c r="J129" s="248">
        <f>SUM(J122:J128)</f>
        <v>6771541495.84097</v>
      </c>
      <c r="K129" s="249">
        <f>SUM(K122:K128)</f>
        <v>1</v>
      </c>
      <c r="L129" s="266"/>
      <c r="M129" s="253"/>
    </row>
    <row r="130" spans="2:9" s="241" customFormat="1" ht="15">
      <c r="B130" s="681" t="s">
        <v>258</v>
      </c>
      <c r="C130" s="681"/>
      <c r="D130" s="248">
        <f>+H119</f>
        <v>419478712.35375464</v>
      </c>
      <c r="E130" s="248">
        <f>+'[3]PROYECCIÓN CIERRE 2021'!C98</f>
        <v>409000000</v>
      </c>
      <c r="F130" s="249">
        <f>+(D130-E130)/E130</f>
        <v>0.025620323603312078</v>
      </c>
      <c r="G130" s="248">
        <f>+D130-E130</f>
        <v>10478712.35375464</v>
      </c>
      <c r="H130" s="240"/>
      <c r="I130" s="240"/>
    </row>
    <row r="131" spans="2:9" s="241" customFormat="1" ht="15">
      <c r="B131" s="681" t="s">
        <v>28</v>
      </c>
      <c r="C131" s="681"/>
      <c r="D131" s="248">
        <f>+D129+D130</f>
        <v>6771541495.84097</v>
      </c>
      <c r="E131" s="248">
        <f>+E129+E130</f>
        <v>6101639482.998345</v>
      </c>
      <c r="F131" s="249">
        <f>+(D131-E131)/E131</f>
        <v>0.10979049396629295</v>
      </c>
      <c r="G131" s="248">
        <f>+D131-E131</f>
        <v>669902012.8426247</v>
      </c>
      <c r="H131" s="240"/>
      <c r="I131" s="263"/>
    </row>
    <row r="132" spans="2:9" s="241" customFormat="1" ht="15">
      <c r="B132" s="681" t="s">
        <v>172</v>
      </c>
      <c r="C132" s="681"/>
      <c r="D132" s="248">
        <f>258463555+50036445</f>
        <v>308500000</v>
      </c>
      <c r="E132" s="248">
        <f>+'[3]PROYECCIÓN CIERRE 2021'!D94</f>
        <v>295000000</v>
      </c>
      <c r="F132" s="249">
        <f>+(D132-E132)/E132</f>
        <v>0.04576271186440678</v>
      </c>
      <c r="G132" s="248">
        <f>+D132-E132</f>
        <v>13500000</v>
      </c>
      <c r="H132" s="240"/>
      <c r="I132" s="240"/>
    </row>
    <row r="133" spans="7:9" ht="15">
      <c r="G133" s="254"/>
      <c r="H133" s="254"/>
      <c r="I133" s="254"/>
    </row>
    <row r="134" spans="4:9" ht="15">
      <c r="D134" s="254"/>
      <c r="H134" s="267"/>
      <c r="I134" s="267"/>
    </row>
    <row r="135" spans="8:9" ht="15">
      <c r="H135" s="268"/>
      <c r="I135" s="268"/>
    </row>
  </sheetData>
  <sheetProtection/>
  <mergeCells count="6">
    <mergeCell ref="B130:C130"/>
    <mergeCell ref="B131:C131"/>
    <mergeCell ref="B132:C132"/>
    <mergeCell ref="B2:K2"/>
    <mergeCell ref="B3:K3"/>
    <mergeCell ref="B4:K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scale="55" r:id="rId1"/>
  <rowBreaks count="3" manualBreakCount="3">
    <brk id="54" min="1" max="10" man="1"/>
    <brk id="113" min="1" max="10" man="1"/>
    <brk id="132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J21"/>
  <sheetViews>
    <sheetView zoomScaleSheetLayoutView="80" zoomScalePageLayoutView="0" workbookViewId="0" topLeftCell="A1">
      <selection activeCell="N35" sqref="N35"/>
    </sheetView>
  </sheetViews>
  <sheetFormatPr defaultColWidth="11.421875" defaultRowHeight="15"/>
  <cols>
    <col min="1" max="1" width="12.00390625" style="238" customWidth="1"/>
    <col min="2" max="2" width="22.28125" style="238" bestFit="1" customWidth="1"/>
    <col min="3" max="3" width="24.00390625" style="238" bestFit="1" customWidth="1"/>
    <col min="4" max="4" width="26.7109375" style="239" bestFit="1" customWidth="1"/>
    <col min="5" max="5" width="22.8515625" style="238" customWidth="1"/>
    <col min="6" max="6" width="21.421875" style="238" bestFit="1" customWidth="1"/>
    <col min="7" max="7" width="21.00390625" style="240" bestFit="1" customWidth="1"/>
    <col min="8" max="8" width="21.421875" style="240" bestFit="1" customWidth="1"/>
    <col min="9" max="9" width="22.7109375" style="238" customWidth="1"/>
    <col min="10" max="10" width="18.421875" style="238" customWidth="1"/>
    <col min="11" max="11" width="24.00390625" style="238" bestFit="1" customWidth="1"/>
    <col min="12" max="12" width="18.140625" style="238" bestFit="1" customWidth="1"/>
    <col min="13" max="13" width="13.421875" style="238" bestFit="1" customWidth="1"/>
    <col min="14" max="14" width="13.8515625" style="238" bestFit="1" customWidth="1"/>
    <col min="15" max="15" width="16.8515625" style="238" bestFit="1" customWidth="1"/>
    <col min="16" max="16" width="13.8515625" style="238" bestFit="1" customWidth="1"/>
    <col min="17" max="16384" width="11.421875" style="238" customWidth="1"/>
  </cols>
  <sheetData>
    <row r="1" spans="6:8" ht="15">
      <c r="F1" s="254"/>
      <c r="G1" s="254"/>
      <c r="H1" s="254"/>
    </row>
    <row r="2" spans="2:9" s="270" customFormat="1" ht="15" customHeight="1">
      <c r="B2" s="680" t="s">
        <v>100</v>
      </c>
      <c r="C2" s="680"/>
      <c r="D2" s="680"/>
      <c r="E2" s="680"/>
      <c r="F2" s="680"/>
      <c r="G2" s="269"/>
      <c r="H2" s="269"/>
      <c r="I2" s="269"/>
    </row>
    <row r="3" spans="2:9" s="270" customFormat="1" ht="15">
      <c r="B3" s="680" t="s">
        <v>355</v>
      </c>
      <c r="C3" s="680"/>
      <c r="D3" s="680"/>
      <c r="E3" s="680"/>
      <c r="F3" s="680"/>
      <c r="G3" s="269"/>
      <c r="H3" s="269"/>
      <c r="I3" s="269"/>
    </row>
    <row r="4" spans="2:9" s="270" customFormat="1" ht="15">
      <c r="B4" s="680" t="s">
        <v>357</v>
      </c>
      <c r="C4" s="680"/>
      <c r="D4" s="680"/>
      <c r="E4" s="680"/>
      <c r="F4" s="680"/>
      <c r="G4" s="269"/>
      <c r="H4" s="269"/>
      <c r="I4" s="269"/>
    </row>
    <row r="5" spans="2:9" s="270" customFormat="1" ht="15">
      <c r="B5" s="408"/>
      <c r="C5" s="408"/>
      <c r="D5" s="408"/>
      <c r="E5" s="408"/>
      <c r="F5" s="408"/>
      <c r="G5" s="269"/>
      <c r="H5" s="269"/>
      <c r="I5" s="269"/>
    </row>
    <row r="6" spans="2:9" s="270" customFormat="1" ht="15">
      <c r="B6" s="408"/>
      <c r="C6" s="408"/>
      <c r="D6" s="408"/>
      <c r="E6" s="408"/>
      <c r="F6" s="408"/>
      <c r="G6" s="269"/>
      <c r="H6" s="269"/>
      <c r="I6" s="269"/>
    </row>
    <row r="7" spans="2:8" s="241" customFormat="1" ht="15">
      <c r="B7" s="242" t="s">
        <v>159</v>
      </c>
      <c r="C7" s="242" t="s">
        <v>329</v>
      </c>
      <c r="D7" s="242" t="s">
        <v>326</v>
      </c>
      <c r="E7" s="242" t="s">
        <v>330</v>
      </c>
      <c r="F7" s="242" t="s">
        <v>331</v>
      </c>
      <c r="G7" s="400"/>
      <c r="H7" s="400"/>
    </row>
    <row r="8" spans="2:10" ht="15">
      <c r="B8" s="401">
        <v>44197</v>
      </c>
      <c r="C8" s="402">
        <v>480591765.2983765</v>
      </c>
      <c r="D8" s="402">
        <v>132377423.22498481</v>
      </c>
      <c r="E8" s="402">
        <f>+C8+D8</f>
        <v>612969188.5233613</v>
      </c>
      <c r="F8" s="402">
        <v>79351096.08334877</v>
      </c>
      <c r="G8" s="403"/>
      <c r="H8" s="403"/>
      <c r="I8" s="254"/>
      <c r="J8" s="259"/>
    </row>
    <row r="9" spans="2:10" ht="15">
      <c r="B9" s="401">
        <v>44228</v>
      </c>
      <c r="C9" s="404">
        <v>473109644.5439893</v>
      </c>
      <c r="D9" s="404">
        <v>25639727.386205554</v>
      </c>
      <c r="E9" s="404">
        <f aca="true" t="shared" si="0" ref="E9:E19">+C9+D9</f>
        <v>498749371.93019485</v>
      </c>
      <c r="F9" s="404">
        <v>30866255.970122416</v>
      </c>
      <c r="G9" s="403"/>
      <c r="H9" s="403"/>
      <c r="I9" s="254"/>
      <c r="J9" s="259"/>
    </row>
    <row r="10" spans="2:9" ht="15">
      <c r="B10" s="401">
        <v>44256</v>
      </c>
      <c r="C10" s="404">
        <v>527351484.9972991</v>
      </c>
      <c r="D10" s="404">
        <v>12811659.647989605</v>
      </c>
      <c r="E10" s="404">
        <f t="shared" si="0"/>
        <v>540163144.6452887</v>
      </c>
      <c r="F10" s="404">
        <v>7016781.15780403</v>
      </c>
      <c r="G10" s="403"/>
      <c r="H10" s="403"/>
      <c r="I10" s="254"/>
    </row>
    <row r="11" spans="2:9" ht="15">
      <c r="B11" s="401">
        <v>44287</v>
      </c>
      <c r="C11" s="404">
        <v>537594431.5588897</v>
      </c>
      <c r="D11" s="404">
        <v>64814336.99125525</v>
      </c>
      <c r="E11" s="404">
        <f t="shared" si="0"/>
        <v>602408768.550145</v>
      </c>
      <c r="F11" s="404">
        <v>55984390.1548081</v>
      </c>
      <c r="G11" s="403"/>
      <c r="H11" s="403"/>
      <c r="I11" s="254"/>
    </row>
    <row r="12" spans="2:9" ht="15">
      <c r="B12" s="401">
        <v>44317</v>
      </c>
      <c r="C12" s="404">
        <v>529473092.8002059</v>
      </c>
      <c r="D12" s="404">
        <v>10391215.519612515</v>
      </c>
      <c r="E12" s="404">
        <f t="shared" si="0"/>
        <v>539864308.3198184</v>
      </c>
      <c r="F12" s="404">
        <v>10891867.564479234</v>
      </c>
      <c r="G12" s="403"/>
      <c r="H12" s="403"/>
      <c r="I12" s="254"/>
    </row>
    <row r="13" spans="2:9" ht="15">
      <c r="B13" s="401">
        <v>44348</v>
      </c>
      <c r="C13" s="404">
        <v>534981763.5824214</v>
      </c>
      <c r="D13" s="404">
        <v>15132770.191284163</v>
      </c>
      <c r="E13" s="404">
        <f t="shared" si="0"/>
        <v>550114533.7737056</v>
      </c>
      <c r="F13" s="404">
        <v>10638124.207682775</v>
      </c>
      <c r="G13" s="403"/>
      <c r="H13" s="403"/>
      <c r="I13" s="254"/>
    </row>
    <row r="14" spans="2:9" ht="15">
      <c r="B14" s="401">
        <v>44378</v>
      </c>
      <c r="C14" s="404">
        <v>522171394.11060816</v>
      </c>
      <c r="D14" s="404">
        <v>10496671.527901104</v>
      </c>
      <c r="E14" s="404">
        <f t="shared" si="0"/>
        <v>532668065.6385093</v>
      </c>
      <c r="F14" s="404">
        <v>5845175.604240998</v>
      </c>
      <c r="G14" s="403"/>
      <c r="H14" s="403"/>
      <c r="I14" s="254"/>
    </row>
    <row r="15" spans="2:9" ht="15">
      <c r="B15" s="401">
        <v>44409</v>
      </c>
      <c r="C15" s="404">
        <v>540589103.139317</v>
      </c>
      <c r="D15" s="404">
        <v>27645779.163598705</v>
      </c>
      <c r="E15" s="404">
        <f t="shared" si="0"/>
        <v>568234882.3029157</v>
      </c>
      <c r="F15" s="404">
        <v>8687983.868914343</v>
      </c>
      <c r="G15" s="403"/>
      <c r="H15" s="403"/>
      <c r="I15" s="254"/>
    </row>
    <row r="16" spans="2:9" ht="15">
      <c r="B16" s="401">
        <v>44440</v>
      </c>
      <c r="C16" s="404">
        <v>550380095.8035064</v>
      </c>
      <c r="D16" s="404">
        <v>9507388.665395863</v>
      </c>
      <c r="E16" s="404">
        <f t="shared" si="0"/>
        <v>559887484.4689022</v>
      </c>
      <c r="F16" s="404">
        <v>7743164.900865976</v>
      </c>
      <c r="G16" s="403"/>
      <c r="H16" s="403"/>
      <c r="I16" s="254"/>
    </row>
    <row r="17" spans="2:9" ht="15">
      <c r="B17" s="401">
        <v>44470</v>
      </c>
      <c r="C17" s="404">
        <v>560632083.4632287</v>
      </c>
      <c r="D17" s="404">
        <v>19066814.75556474</v>
      </c>
      <c r="E17" s="404">
        <f t="shared" si="0"/>
        <v>579698898.2187934</v>
      </c>
      <c r="F17" s="404">
        <v>12087859.160349995</v>
      </c>
      <c r="G17" s="403"/>
      <c r="H17" s="403"/>
      <c r="I17" s="254"/>
    </row>
    <row r="18" spans="2:9" ht="15">
      <c r="B18" s="401">
        <v>44501</v>
      </c>
      <c r="C18" s="404">
        <v>564125344.5657455</v>
      </c>
      <c r="D18" s="404">
        <v>59386142.872224085</v>
      </c>
      <c r="E18" s="404">
        <f t="shared" si="0"/>
        <v>623511487.4379696</v>
      </c>
      <c r="F18" s="404">
        <v>54746447.66397069</v>
      </c>
      <c r="G18" s="403"/>
      <c r="H18" s="403"/>
      <c r="I18" s="254"/>
    </row>
    <row r="19" spans="2:9" ht="15">
      <c r="B19" s="401">
        <v>44531</v>
      </c>
      <c r="C19" s="405">
        <v>531062579.6236272</v>
      </c>
      <c r="D19" s="405">
        <v>32208782.407738313</v>
      </c>
      <c r="E19" s="405">
        <f t="shared" si="0"/>
        <v>563271362.0313655</v>
      </c>
      <c r="F19" s="405">
        <v>24640853.663412698</v>
      </c>
      <c r="G19" s="403"/>
      <c r="H19" s="403"/>
      <c r="I19" s="254"/>
    </row>
    <row r="20" spans="2:9" s="241" customFormat="1" ht="15">
      <c r="B20" s="242" t="s">
        <v>28</v>
      </c>
      <c r="C20" s="248">
        <f>SUM(C8:C19)</f>
        <v>6352062783.487215</v>
      </c>
      <c r="D20" s="248">
        <f>SUM(D8:D19)</f>
        <v>419478712.35375476</v>
      </c>
      <c r="E20" s="248">
        <f>SUM(E8:E19)</f>
        <v>6771541495.84097</v>
      </c>
      <c r="F20" s="248">
        <f>SUM(F8:F19)</f>
        <v>308500000</v>
      </c>
      <c r="G20" s="403"/>
      <c r="H20" s="403"/>
      <c r="I20" s="403"/>
    </row>
    <row r="21" spans="2:8" s="241" customFormat="1" ht="15">
      <c r="B21" s="242" t="s">
        <v>266</v>
      </c>
      <c r="C21" s="248">
        <f>+E20+F20</f>
        <v>7080041495.84097</v>
      </c>
      <c r="D21" s="406"/>
      <c r="E21" s="407"/>
      <c r="G21" s="267"/>
      <c r="H21" s="267"/>
    </row>
  </sheetData>
  <sheetProtection/>
  <mergeCells count="3">
    <mergeCell ref="B2:F2"/>
    <mergeCell ref="B3:F3"/>
    <mergeCell ref="B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zoomScale="80" zoomScaleNormal="80" zoomScalePageLayoutView="0" workbookViewId="0" topLeftCell="A1">
      <selection activeCell="N35" sqref="N35"/>
    </sheetView>
  </sheetViews>
  <sheetFormatPr defaultColWidth="11.421875" defaultRowHeight="15"/>
  <cols>
    <col min="1" max="1" width="9.421875" style="4" customWidth="1"/>
    <col min="2" max="2" width="36.28125" style="288" customWidth="1"/>
    <col min="3" max="3" width="19.28125" style="4" customWidth="1"/>
    <col min="4" max="4" width="22.421875" style="4" customWidth="1"/>
    <col min="5" max="5" width="15.421875" style="4" customWidth="1"/>
    <col min="6" max="6" width="19.7109375" style="4" customWidth="1"/>
    <col min="7" max="7" width="9.421875" style="4" customWidth="1"/>
    <col min="8" max="8" width="21.00390625" style="4" customWidth="1"/>
    <col min="9" max="9" width="12.421875" style="4" bestFit="1" customWidth="1"/>
    <col min="10" max="16384" width="11.421875" style="4" customWidth="1"/>
  </cols>
  <sheetData>
    <row r="2" spans="2:9" s="270" customFormat="1" ht="15" customHeight="1">
      <c r="B2" s="680" t="s">
        <v>100</v>
      </c>
      <c r="C2" s="680"/>
      <c r="D2" s="680"/>
      <c r="E2" s="680"/>
      <c r="F2" s="680"/>
      <c r="G2" s="269"/>
      <c r="H2" s="269"/>
      <c r="I2" s="269"/>
    </row>
    <row r="3" spans="2:9" s="270" customFormat="1" ht="15">
      <c r="B3" s="680" t="s">
        <v>355</v>
      </c>
      <c r="C3" s="680"/>
      <c r="D3" s="680"/>
      <c r="E3" s="680"/>
      <c r="F3" s="680"/>
      <c r="G3" s="269"/>
      <c r="H3" s="269"/>
      <c r="I3" s="269"/>
    </row>
    <row r="4" spans="2:9" s="270" customFormat="1" ht="15">
      <c r="B4" s="680" t="s">
        <v>356</v>
      </c>
      <c r="C4" s="680"/>
      <c r="D4" s="680"/>
      <c r="E4" s="680"/>
      <c r="F4" s="680"/>
      <c r="G4" s="269"/>
      <c r="H4" s="269"/>
      <c r="I4" s="269"/>
    </row>
    <row r="7" spans="2:6" s="271" customFormat="1" ht="30.75">
      <c r="B7" s="409" t="s">
        <v>36</v>
      </c>
      <c r="C7" s="409" t="s">
        <v>159</v>
      </c>
      <c r="D7" s="410" t="s">
        <v>20</v>
      </c>
      <c r="E7" s="409" t="s">
        <v>215</v>
      </c>
      <c r="F7" s="409" t="s">
        <v>37</v>
      </c>
    </row>
    <row r="8" spans="2:8" ht="15.75" customHeight="1">
      <c r="B8" s="682" t="s">
        <v>38</v>
      </c>
      <c r="C8" s="272" t="s">
        <v>101</v>
      </c>
      <c r="D8" s="273">
        <v>612969188.5233613</v>
      </c>
      <c r="E8" s="274">
        <f>+$D$23</f>
        <v>0.002466</v>
      </c>
      <c r="F8" s="275">
        <f>+D8*E8</f>
        <v>1511582.0188986089</v>
      </c>
      <c r="H8" s="276"/>
    </row>
    <row r="9" spans="2:8" ht="15.75" customHeight="1">
      <c r="B9" s="682"/>
      <c r="C9" s="272" t="s">
        <v>102</v>
      </c>
      <c r="D9" s="273">
        <v>498749371.93019485</v>
      </c>
      <c r="E9" s="274">
        <f aca="true" t="shared" si="0" ref="E9:E19">+$D$23</f>
        <v>0.002466</v>
      </c>
      <c r="F9" s="275">
        <f aca="true" t="shared" si="1" ref="F9:F19">+D9*E9</f>
        <v>1229915.9511798604</v>
      </c>
      <c r="H9" s="276"/>
    </row>
    <row r="10" spans="2:8" ht="15.75" customHeight="1">
      <c r="B10" s="682"/>
      <c r="C10" s="272" t="s">
        <v>103</v>
      </c>
      <c r="D10" s="273">
        <v>540163144.6452887</v>
      </c>
      <c r="E10" s="274">
        <f t="shared" si="0"/>
        <v>0.002466</v>
      </c>
      <c r="F10" s="275">
        <f t="shared" si="1"/>
        <v>1332042.314695282</v>
      </c>
      <c r="H10" s="276"/>
    </row>
    <row r="11" spans="2:8" ht="15.75" customHeight="1">
      <c r="B11" s="682" t="s">
        <v>39</v>
      </c>
      <c r="C11" s="272" t="s">
        <v>104</v>
      </c>
      <c r="D11" s="273">
        <v>602408768.550145</v>
      </c>
      <c r="E11" s="274">
        <f t="shared" si="0"/>
        <v>0.002466</v>
      </c>
      <c r="F11" s="275">
        <f t="shared" si="1"/>
        <v>1485540.0232446576</v>
      </c>
      <c r="H11" s="276"/>
    </row>
    <row r="12" spans="2:8" ht="15.75" customHeight="1">
      <c r="B12" s="682"/>
      <c r="C12" s="272" t="s">
        <v>105</v>
      </c>
      <c r="D12" s="273">
        <v>539864308.3198184</v>
      </c>
      <c r="E12" s="274">
        <f t="shared" si="0"/>
        <v>0.002466</v>
      </c>
      <c r="F12" s="275">
        <f t="shared" si="1"/>
        <v>1331305.384316672</v>
      </c>
      <c r="H12" s="276"/>
    </row>
    <row r="13" spans="2:8" ht="15.75" customHeight="1">
      <c r="B13" s="682"/>
      <c r="C13" s="272" t="s">
        <v>106</v>
      </c>
      <c r="D13" s="273">
        <v>550114533.7737056</v>
      </c>
      <c r="E13" s="274">
        <f t="shared" si="0"/>
        <v>0.002466</v>
      </c>
      <c r="F13" s="275">
        <f t="shared" si="1"/>
        <v>1356582.440285958</v>
      </c>
      <c r="H13" s="276"/>
    </row>
    <row r="14" spans="2:8" ht="15.75" customHeight="1">
      <c r="B14" s="682" t="s">
        <v>40</v>
      </c>
      <c r="C14" s="272" t="s">
        <v>107</v>
      </c>
      <c r="D14" s="273">
        <v>532668065.6385093</v>
      </c>
      <c r="E14" s="274">
        <f t="shared" si="0"/>
        <v>0.002466</v>
      </c>
      <c r="F14" s="275">
        <f t="shared" si="1"/>
        <v>1313559.4498645638</v>
      </c>
      <c r="H14" s="276"/>
    </row>
    <row r="15" spans="2:8" ht="15.75" customHeight="1">
      <c r="B15" s="682"/>
      <c r="C15" s="272" t="s">
        <v>108</v>
      </c>
      <c r="D15" s="273">
        <v>568234882.3029157</v>
      </c>
      <c r="E15" s="274">
        <f t="shared" si="0"/>
        <v>0.002466</v>
      </c>
      <c r="F15" s="275">
        <f t="shared" si="1"/>
        <v>1401267.21975899</v>
      </c>
      <c r="H15" s="276"/>
    </row>
    <row r="16" spans="2:8" ht="15.75" customHeight="1">
      <c r="B16" s="682"/>
      <c r="C16" s="272" t="s">
        <v>160</v>
      </c>
      <c r="D16" s="273">
        <v>559887484.4689022</v>
      </c>
      <c r="E16" s="274">
        <f t="shared" si="0"/>
        <v>0.002466</v>
      </c>
      <c r="F16" s="275">
        <f t="shared" si="1"/>
        <v>1380682.5367003127</v>
      </c>
      <c r="H16" s="276"/>
    </row>
    <row r="17" spans="2:8" ht="15.75" customHeight="1">
      <c r="B17" s="682" t="s">
        <v>41</v>
      </c>
      <c r="C17" s="272" t="s">
        <v>161</v>
      </c>
      <c r="D17" s="273">
        <v>579698898.2187934</v>
      </c>
      <c r="E17" s="274">
        <f t="shared" si="0"/>
        <v>0.002466</v>
      </c>
      <c r="F17" s="275">
        <f t="shared" si="1"/>
        <v>1429537.4830075444</v>
      </c>
      <c r="H17" s="276"/>
    </row>
    <row r="18" spans="2:8" ht="15.75" customHeight="1">
      <c r="B18" s="682"/>
      <c r="C18" s="272" t="s">
        <v>162</v>
      </c>
      <c r="D18" s="277">
        <v>623511487.4379696</v>
      </c>
      <c r="E18" s="274">
        <f t="shared" si="0"/>
        <v>0.002466</v>
      </c>
      <c r="F18" s="275">
        <f t="shared" si="1"/>
        <v>1537579.328022033</v>
      </c>
      <c r="H18" s="276"/>
    </row>
    <row r="19" spans="2:8" ht="15.75" customHeight="1">
      <c r="B19" s="682"/>
      <c r="C19" s="272" t="s">
        <v>163</v>
      </c>
      <c r="D19" s="277">
        <v>563271362.0313655</v>
      </c>
      <c r="E19" s="274">
        <f t="shared" si="0"/>
        <v>0.002466</v>
      </c>
      <c r="F19" s="275">
        <f t="shared" si="1"/>
        <v>1389027.1787693473</v>
      </c>
      <c r="H19" s="276"/>
    </row>
    <row r="20" spans="2:8" ht="15">
      <c r="B20" s="411" t="s">
        <v>28</v>
      </c>
      <c r="C20" s="411"/>
      <c r="D20" s="412">
        <f>SUM(D8:D19)</f>
        <v>6771541495.84097</v>
      </c>
      <c r="E20" s="413"/>
      <c r="F20" s="414">
        <f>SUM(F8:F19)</f>
        <v>16698621.32874383</v>
      </c>
      <c r="H20" s="276"/>
    </row>
    <row r="21" spans="2:7" ht="15">
      <c r="B21" s="278"/>
      <c r="C21" s="279"/>
      <c r="D21" s="280"/>
      <c r="G21" s="276"/>
    </row>
    <row r="22" spans="2:4" ht="15">
      <c r="B22" s="281" t="s">
        <v>164</v>
      </c>
      <c r="C22" s="281"/>
      <c r="D22" s="282">
        <v>0.03</v>
      </c>
    </row>
    <row r="23" spans="2:4" ht="15">
      <c r="B23" s="281" t="s">
        <v>165</v>
      </c>
      <c r="C23" s="281"/>
      <c r="D23" s="283">
        <v>0.002466</v>
      </c>
    </row>
    <row r="24" spans="2:4" ht="15">
      <c r="B24" s="284" t="s">
        <v>127</v>
      </c>
      <c r="C24" s="284"/>
      <c r="D24" s="285"/>
    </row>
    <row r="28" spans="2:6" ht="30.75">
      <c r="B28" s="409" t="s">
        <v>36</v>
      </c>
      <c r="C28" s="409" t="s">
        <v>159</v>
      </c>
      <c r="D28" s="410" t="s">
        <v>166</v>
      </c>
      <c r="E28" s="409" t="s">
        <v>215</v>
      </c>
      <c r="F28" s="409" t="s">
        <v>37</v>
      </c>
    </row>
    <row r="29" spans="2:6" ht="15">
      <c r="B29" s="682" t="s">
        <v>38</v>
      </c>
      <c r="C29" s="286" t="s">
        <v>101</v>
      </c>
      <c r="D29" s="273">
        <v>5500000000</v>
      </c>
      <c r="E29" s="274">
        <f>+$D$44</f>
        <v>0.003274</v>
      </c>
      <c r="F29" s="275">
        <f>+D29*E29</f>
        <v>18007000</v>
      </c>
    </row>
    <row r="30" spans="2:6" ht="15">
      <c r="B30" s="682"/>
      <c r="C30" s="286" t="s">
        <v>102</v>
      </c>
      <c r="D30" s="273">
        <v>5500000000</v>
      </c>
      <c r="E30" s="274">
        <f aca="true" t="shared" si="2" ref="E30:E40">+$D$44</f>
        <v>0.003274</v>
      </c>
      <c r="F30" s="275">
        <f>+D30*E30</f>
        <v>18007000</v>
      </c>
    </row>
    <row r="31" spans="2:6" ht="15">
      <c r="B31" s="682"/>
      <c r="C31" s="286" t="s">
        <v>103</v>
      </c>
      <c r="D31" s="273">
        <v>5500000000</v>
      </c>
      <c r="E31" s="274">
        <f t="shared" si="2"/>
        <v>0.003274</v>
      </c>
      <c r="F31" s="275">
        <f aca="true" t="shared" si="3" ref="F31:F40">+D31*E31</f>
        <v>18007000</v>
      </c>
    </row>
    <row r="32" spans="2:6" ht="15">
      <c r="B32" s="682" t="s">
        <v>39</v>
      </c>
      <c r="C32" s="286" t="s">
        <v>104</v>
      </c>
      <c r="D32" s="273">
        <v>5500000000</v>
      </c>
      <c r="E32" s="274">
        <f t="shared" si="2"/>
        <v>0.003274</v>
      </c>
      <c r="F32" s="275">
        <f t="shared" si="3"/>
        <v>18007000</v>
      </c>
    </row>
    <row r="33" spans="2:6" ht="15">
      <c r="B33" s="682"/>
      <c r="C33" s="286" t="s">
        <v>105</v>
      </c>
      <c r="D33" s="273">
        <v>5500000000</v>
      </c>
      <c r="E33" s="274">
        <f t="shared" si="2"/>
        <v>0.003274</v>
      </c>
      <c r="F33" s="275">
        <f t="shared" si="3"/>
        <v>18007000</v>
      </c>
    </row>
    <row r="34" spans="2:6" ht="15">
      <c r="B34" s="682"/>
      <c r="C34" s="286" t="s">
        <v>106</v>
      </c>
      <c r="D34" s="273">
        <v>5500000000</v>
      </c>
      <c r="E34" s="274">
        <f t="shared" si="2"/>
        <v>0.003274</v>
      </c>
      <c r="F34" s="275">
        <f t="shared" si="3"/>
        <v>18007000</v>
      </c>
    </row>
    <row r="35" spans="2:6" ht="15">
      <c r="B35" s="682" t="s">
        <v>40</v>
      </c>
      <c r="C35" s="286" t="s">
        <v>107</v>
      </c>
      <c r="D35" s="273">
        <v>5500000000</v>
      </c>
      <c r="E35" s="274">
        <f t="shared" si="2"/>
        <v>0.003274</v>
      </c>
      <c r="F35" s="275">
        <f t="shared" si="3"/>
        <v>18007000</v>
      </c>
    </row>
    <row r="36" spans="2:6" ht="15">
      <c r="B36" s="682"/>
      <c r="C36" s="286" t="s">
        <v>108</v>
      </c>
      <c r="D36" s="273">
        <v>5500000000</v>
      </c>
      <c r="E36" s="274">
        <f t="shared" si="2"/>
        <v>0.003274</v>
      </c>
      <c r="F36" s="275">
        <f t="shared" si="3"/>
        <v>18007000</v>
      </c>
    </row>
    <row r="37" spans="2:6" ht="15">
      <c r="B37" s="682"/>
      <c r="C37" s="286" t="s">
        <v>160</v>
      </c>
      <c r="D37" s="273">
        <v>5500000000</v>
      </c>
      <c r="E37" s="274">
        <f t="shared" si="2"/>
        <v>0.003274</v>
      </c>
      <c r="F37" s="275">
        <f t="shared" si="3"/>
        <v>18007000</v>
      </c>
    </row>
    <row r="38" spans="2:6" ht="15">
      <c r="B38" s="682" t="s">
        <v>41</v>
      </c>
      <c r="C38" s="286" t="s">
        <v>161</v>
      </c>
      <c r="D38" s="273">
        <v>5500000000</v>
      </c>
      <c r="E38" s="274">
        <f t="shared" si="2"/>
        <v>0.003274</v>
      </c>
      <c r="F38" s="275">
        <f t="shared" si="3"/>
        <v>18007000</v>
      </c>
    </row>
    <row r="39" spans="2:6" ht="15">
      <c r="B39" s="682"/>
      <c r="C39" s="286" t="s">
        <v>162</v>
      </c>
      <c r="D39" s="277">
        <v>5500000000</v>
      </c>
      <c r="E39" s="274">
        <f t="shared" si="2"/>
        <v>0.003274</v>
      </c>
      <c r="F39" s="275">
        <f t="shared" si="3"/>
        <v>18007000</v>
      </c>
    </row>
    <row r="40" spans="2:6" ht="15">
      <c r="B40" s="682"/>
      <c r="C40" s="286" t="s">
        <v>163</v>
      </c>
      <c r="D40" s="277">
        <v>5500000000</v>
      </c>
      <c r="E40" s="274">
        <f t="shared" si="2"/>
        <v>0.003274</v>
      </c>
      <c r="F40" s="275">
        <f t="shared" si="3"/>
        <v>18007000</v>
      </c>
    </row>
    <row r="41" spans="2:8" s="287" customFormat="1" ht="15">
      <c r="B41" s="411" t="s">
        <v>287</v>
      </c>
      <c r="C41" s="411"/>
      <c r="D41" s="415">
        <f>AVERAGE(D29:D40)</f>
        <v>5500000000</v>
      </c>
      <c r="E41" s="416"/>
      <c r="F41" s="417">
        <f>SUM(F29:F40)</f>
        <v>216084000</v>
      </c>
      <c r="H41" s="417">
        <f>+F41+F20</f>
        <v>232782621.32874382</v>
      </c>
    </row>
    <row r="42" spans="1:4" ht="15">
      <c r="A42" s="279"/>
      <c r="B42" s="279"/>
      <c r="C42" s="279"/>
      <c r="D42" s="280"/>
    </row>
    <row r="43" spans="2:4" ht="15">
      <c r="B43" s="281" t="s">
        <v>164</v>
      </c>
      <c r="C43" s="281"/>
      <c r="D43" s="282">
        <v>0.039</v>
      </c>
    </row>
    <row r="44" spans="2:4" ht="15">
      <c r="B44" s="281" t="s">
        <v>165</v>
      </c>
      <c r="C44" s="281"/>
      <c r="D44" s="283">
        <v>0.003274</v>
      </c>
    </row>
    <row r="45" spans="2:4" ht="15">
      <c r="B45" s="284" t="s">
        <v>127</v>
      </c>
      <c r="C45" s="284"/>
      <c r="D45" s="285"/>
    </row>
  </sheetData>
  <sheetProtection/>
  <mergeCells count="11">
    <mergeCell ref="B2:F2"/>
    <mergeCell ref="B4:F4"/>
    <mergeCell ref="B8:B10"/>
    <mergeCell ref="B11:B13"/>
    <mergeCell ref="B14:B16"/>
    <mergeCell ref="B3:F3"/>
    <mergeCell ref="B17:B19"/>
    <mergeCell ref="B29:B31"/>
    <mergeCell ref="B32:B34"/>
    <mergeCell ref="B35:B37"/>
    <mergeCell ref="B38:B40"/>
  </mergeCells>
  <hyperlinks>
    <hyperlink ref="B24" r:id="rId1" display="https://www.superfinanciera.gov.co/reportes/"/>
    <hyperlink ref="B45" r:id="rId2" display="https://www.superfinanciera.gov.co/reportes/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71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zoomScale="90" zoomScaleNormal="90" zoomScalePageLayoutView="0" workbookViewId="0" topLeftCell="A1">
      <selection activeCell="N35" sqref="N35"/>
    </sheetView>
  </sheetViews>
  <sheetFormatPr defaultColWidth="11.421875" defaultRowHeight="15" outlineLevelCol="1"/>
  <cols>
    <col min="1" max="1" width="2.7109375" style="289" customWidth="1"/>
    <col min="2" max="2" width="39.421875" style="289" customWidth="1"/>
    <col min="3" max="5" width="31.421875" style="289" hidden="1" customWidth="1"/>
    <col min="6" max="6" width="22.7109375" style="289" customWidth="1"/>
    <col min="7" max="7" width="12.7109375" style="290" hidden="1" customWidth="1" outlineLevel="1"/>
    <col min="8" max="8" width="11.421875" style="289" hidden="1" customWidth="1" outlineLevel="1"/>
    <col min="9" max="9" width="17.421875" style="289" bestFit="1" customWidth="1" collapsed="1"/>
    <col min="10" max="16384" width="11.421875" style="289" customWidth="1"/>
  </cols>
  <sheetData>
    <row r="1" spans="2:9" ht="15">
      <c r="B1" s="668" t="s">
        <v>26</v>
      </c>
      <c r="C1" s="668"/>
      <c r="D1" s="668"/>
      <c r="E1" s="668"/>
      <c r="F1" s="668"/>
      <c r="G1" s="48"/>
      <c r="H1" s="48"/>
      <c r="I1" s="48"/>
    </row>
    <row r="2" spans="2:9" ht="15">
      <c r="B2" s="668" t="s">
        <v>27</v>
      </c>
      <c r="C2" s="668"/>
      <c r="D2" s="668"/>
      <c r="E2" s="668"/>
      <c r="F2" s="668"/>
      <c r="G2" s="48"/>
      <c r="H2" s="48"/>
      <c r="I2" s="48"/>
    </row>
    <row r="3" spans="2:9" ht="15">
      <c r="B3" s="668" t="s">
        <v>395</v>
      </c>
      <c r="C3" s="668"/>
      <c r="D3" s="668"/>
      <c r="E3" s="668"/>
      <c r="F3" s="668"/>
      <c r="G3" s="48"/>
      <c r="H3" s="48"/>
      <c r="I3" s="48"/>
    </row>
    <row r="4" ht="15.75" thickBot="1"/>
    <row r="5" spans="2:6" ht="15.75" thickBot="1">
      <c r="B5" s="418" t="s">
        <v>86</v>
      </c>
      <c r="C5" s="419"/>
      <c r="D5" s="419"/>
      <c r="E5" s="419"/>
      <c r="F5" s="419" t="s">
        <v>85</v>
      </c>
    </row>
    <row r="6" spans="2:8" ht="15">
      <c r="B6" s="291" t="s">
        <v>0</v>
      </c>
      <c r="C6" s="292"/>
      <c r="D6" s="292"/>
      <c r="E6" s="292"/>
      <c r="F6" s="293">
        <v>0.05</v>
      </c>
      <c r="G6" s="294"/>
      <c r="H6" s="295"/>
    </row>
    <row r="7" spans="2:8" ht="15">
      <c r="B7" s="296" t="s">
        <v>92</v>
      </c>
      <c r="C7" s="297"/>
      <c r="D7" s="297"/>
      <c r="E7" s="297"/>
      <c r="F7" s="298">
        <v>0.05</v>
      </c>
      <c r="G7" s="294"/>
      <c r="H7" s="295"/>
    </row>
    <row r="8" spans="2:8" ht="15">
      <c r="B8" s="296" t="s">
        <v>19</v>
      </c>
      <c r="C8" s="297"/>
      <c r="D8" s="297"/>
      <c r="E8" s="297"/>
      <c r="F8" s="297">
        <v>2021</v>
      </c>
      <c r="G8" s="294"/>
      <c r="H8" s="295"/>
    </row>
    <row r="9" spans="2:8" ht="15">
      <c r="B9" s="296" t="s">
        <v>25</v>
      </c>
      <c r="C9" s="297"/>
      <c r="D9" s="297"/>
      <c r="E9" s="297"/>
      <c r="F9" s="297">
        <v>12</v>
      </c>
      <c r="G9" s="294"/>
      <c r="H9" s="295"/>
    </row>
    <row r="10" spans="2:8" ht="15">
      <c r="B10" s="296" t="s">
        <v>216</v>
      </c>
      <c r="C10" s="297"/>
      <c r="D10" s="297"/>
      <c r="E10" s="297"/>
      <c r="F10" s="297">
        <v>360</v>
      </c>
      <c r="G10" s="294"/>
      <c r="H10" s="295"/>
    </row>
    <row r="11" spans="2:8" ht="15">
      <c r="B11" s="296" t="s">
        <v>217</v>
      </c>
      <c r="C11" s="297"/>
      <c r="D11" s="297"/>
      <c r="E11" s="297"/>
      <c r="F11" s="297">
        <v>360</v>
      </c>
      <c r="G11" s="294"/>
      <c r="H11" s="295"/>
    </row>
    <row r="12" spans="2:7" ht="15">
      <c r="B12" s="296" t="s">
        <v>218</v>
      </c>
      <c r="C12" s="297"/>
      <c r="D12" s="297"/>
      <c r="E12" s="297"/>
      <c r="F12" s="297">
        <v>30</v>
      </c>
      <c r="G12" s="335" t="s">
        <v>276</v>
      </c>
    </row>
    <row r="13" spans="2:8" ht="15">
      <c r="B13" s="296" t="s">
        <v>310</v>
      </c>
      <c r="C13" s="297"/>
      <c r="D13" s="297"/>
      <c r="E13" s="297"/>
      <c r="F13" s="299">
        <f>(+G13*F7)+G13</f>
        <v>953952.3</v>
      </c>
      <c r="G13" s="290">
        <v>908526</v>
      </c>
      <c r="H13" s="336">
        <f>(+F13-G13)/G13</f>
        <v>0.05000000000000005</v>
      </c>
    </row>
    <row r="14" spans="2:8" ht="15.75" thickBot="1">
      <c r="B14" s="300" t="s">
        <v>35</v>
      </c>
      <c r="C14" s="301"/>
      <c r="D14" s="301"/>
      <c r="E14" s="301"/>
      <c r="F14" s="302">
        <f>(+G14*F7)+G14</f>
        <v>111776.7</v>
      </c>
      <c r="G14" s="290">
        <v>106454</v>
      </c>
      <c r="H14" s="336">
        <f>(+F14-G14)/G14</f>
        <v>0.049999999999999975</v>
      </c>
    </row>
    <row r="15" spans="1:8" ht="15">
      <c r="A15" s="295"/>
      <c r="B15" s="295"/>
      <c r="C15" s="295"/>
      <c r="D15" s="295"/>
      <c r="E15" s="295"/>
      <c r="F15" s="295"/>
      <c r="G15" s="295"/>
      <c r="H15" s="295"/>
    </row>
    <row r="16" spans="1:8" ht="15">
      <c r="A16" s="295"/>
      <c r="B16" s="295"/>
      <c r="C16" s="295"/>
      <c r="D16" s="295"/>
      <c r="E16" s="295"/>
      <c r="F16" s="295"/>
      <c r="G16" s="295"/>
      <c r="H16" s="295"/>
    </row>
    <row r="17" spans="1:8" ht="15.75" thickBot="1">
      <c r="A17" s="295"/>
      <c r="B17" s="295"/>
      <c r="C17" s="295"/>
      <c r="D17" s="295"/>
      <c r="E17" s="295"/>
      <c r="F17" s="295"/>
      <c r="G17" s="295"/>
      <c r="H17" s="295"/>
    </row>
    <row r="18" spans="2:8" ht="15.75" thickBot="1">
      <c r="B18" s="420" t="s">
        <v>23</v>
      </c>
      <c r="C18" s="421"/>
      <c r="D18" s="421"/>
      <c r="E18" s="421"/>
      <c r="F18" s="422"/>
      <c r="G18" s="294"/>
      <c r="H18" s="295"/>
    </row>
    <row r="19" spans="2:10" ht="15">
      <c r="B19" s="303" t="s">
        <v>219</v>
      </c>
      <c r="C19" s="304"/>
      <c r="D19" s="304"/>
      <c r="E19" s="304"/>
      <c r="F19" s="305">
        <v>0.12</v>
      </c>
      <c r="G19" s="294"/>
      <c r="H19" s="295"/>
      <c r="I19" s="306"/>
      <c r="J19" s="307"/>
    </row>
    <row r="20" spans="2:10" ht="15.75" thickBot="1">
      <c r="B20" s="308" t="s">
        <v>9</v>
      </c>
      <c r="C20" s="309"/>
      <c r="D20" s="309"/>
      <c r="E20" s="309"/>
      <c r="F20" s="310">
        <v>0.085</v>
      </c>
      <c r="G20" s="294"/>
      <c r="H20" s="295"/>
      <c r="I20" s="306"/>
      <c r="J20" s="307"/>
    </row>
    <row r="21" spans="2:8" ht="15">
      <c r="B21" s="311" t="s">
        <v>10</v>
      </c>
      <c r="C21" s="312"/>
      <c r="D21" s="312"/>
      <c r="E21" s="312"/>
      <c r="F21" s="313"/>
      <c r="G21" s="294"/>
      <c r="H21" s="295"/>
    </row>
    <row r="22" spans="2:8" ht="15">
      <c r="B22" s="314" t="s">
        <v>24</v>
      </c>
      <c r="C22" s="315"/>
      <c r="D22" s="315"/>
      <c r="E22" s="315"/>
      <c r="F22" s="316">
        <v>0.00522</v>
      </c>
      <c r="G22" s="294" t="s">
        <v>376</v>
      </c>
      <c r="H22" s="295"/>
    </row>
    <row r="23" spans="2:8" ht="30.75">
      <c r="B23" s="314" t="s">
        <v>373</v>
      </c>
      <c r="C23" s="315"/>
      <c r="D23" s="315"/>
      <c r="E23" s="315"/>
      <c r="F23" s="316">
        <v>0.02436</v>
      </c>
      <c r="G23" s="294" t="s">
        <v>377</v>
      </c>
      <c r="H23" s="295"/>
    </row>
    <row r="24" spans="2:8" ht="15">
      <c r="B24" s="314" t="s">
        <v>374</v>
      </c>
      <c r="C24" s="315"/>
      <c r="D24" s="315"/>
      <c r="E24" s="315"/>
      <c r="F24" s="316">
        <v>0.0435</v>
      </c>
      <c r="G24" s="294" t="s">
        <v>379</v>
      </c>
      <c r="H24" s="295"/>
    </row>
    <row r="25" spans="2:8" ht="15">
      <c r="B25" s="314" t="s">
        <v>262</v>
      </c>
      <c r="C25" s="315"/>
      <c r="D25" s="315"/>
      <c r="E25" s="315"/>
      <c r="F25" s="316">
        <v>0.0435</v>
      </c>
      <c r="G25" s="294" t="s">
        <v>378</v>
      </c>
      <c r="H25" s="295"/>
    </row>
    <row r="26" spans="2:8" ht="15.75" thickBot="1">
      <c r="B26" s="317" t="s">
        <v>375</v>
      </c>
      <c r="C26" s="318"/>
      <c r="D26" s="318"/>
      <c r="E26" s="318"/>
      <c r="F26" s="319">
        <v>0.01044</v>
      </c>
      <c r="G26" s="294" t="s">
        <v>380</v>
      </c>
      <c r="H26" s="295"/>
    </row>
    <row r="27" spans="2:8" ht="15">
      <c r="B27" s="320" t="s">
        <v>11</v>
      </c>
      <c r="C27" s="321"/>
      <c r="D27" s="321"/>
      <c r="E27" s="321"/>
      <c r="F27" s="322">
        <v>0.04</v>
      </c>
      <c r="G27" s="294"/>
      <c r="H27" s="295"/>
    </row>
    <row r="28" spans="2:8" ht="15">
      <c r="B28" s="323" t="s">
        <v>12</v>
      </c>
      <c r="C28" s="321"/>
      <c r="D28" s="321"/>
      <c r="E28" s="321"/>
      <c r="F28" s="322">
        <v>0.02</v>
      </c>
      <c r="G28" s="294"/>
      <c r="H28" s="295"/>
    </row>
    <row r="29" spans="2:8" ht="15.75" thickBot="1">
      <c r="B29" s="324" t="s">
        <v>13</v>
      </c>
      <c r="C29" s="325"/>
      <c r="D29" s="325"/>
      <c r="E29" s="325"/>
      <c r="F29" s="326">
        <v>0.03</v>
      </c>
      <c r="G29" s="294"/>
      <c r="H29" s="295"/>
    </row>
    <row r="30" ht="15.75" thickBot="1">
      <c r="F30" s="327"/>
    </row>
    <row r="31" spans="2:6" ht="15.75" thickBot="1">
      <c r="B31" s="424" t="s">
        <v>22</v>
      </c>
      <c r="C31" s="425"/>
      <c r="D31" s="425"/>
      <c r="E31" s="425"/>
      <c r="F31" s="423"/>
    </row>
    <row r="32" spans="2:6" ht="15.75" thickBot="1">
      <c r="B32" s="328" t="s">
        <v>220</v>
      </c>
      <c r="C32" s="329"/>
      <c r="D32" s="329"/>
      <c r="E32" s="329"/>
      <c r="F32" s="330">
        <v>0.12</v>
      </c>
    </row>
    <row r="36" spans="2:5" ht="15" hidden="1">
      <c r="B36" s="331" t="s">
        <v>227</v>
      </c>
      <c r="C36" s="332"/>
      <c r="D36" s="332"/>
      <c r="E36" s="332"/>
    </row>
    <row r="37" spans="2:5" ht="15" hidden="1">
      <c r="B37" s="333" t="e">
        <f>+#REF!+#REF!+#REF!+#REF!+#REF!+#REF!+#REF!</f>
        <v>#REF!</v>
      </c>
      <c r="C37" s="334"/>
      <c r="D37" s="334"/>
      <c r="E37" s="334"/>
    </row>
    <row r="38" spans="2:5" ht="15" hidden="1">
      <c r="B38" s="333" t="e">
        <f>+B37*4/1000</f>
        <v>#REF!</v>
      </c>
      <c r="C38" s="334"/>
      <c r="D38" s="334"/>
      <c r="E38" s="334"/>
    </row>
    <row r="39" ht="15" hidden="1"/>
  </sheetData>
  <sheetProtection/>
  <mergeCells count="3">
    <mergeCell ref="B1:F1"/>
    <mergeCell ref="B2:F2"/>
    <mergeCell ref="B3:F3"/>
  </mergeCell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Q14"/>
  <sheetViews>
    <sheetView zoomScale="70" zoomScaleNormal="70" zoomScalePageLayoutView="0" workbookViewId="0" topLeftCell="A1">
      <selection activeCell="E5" sqref="E5"/>
    </sheetView>
  </sheetViews>
  <sheetFormatPr defaultColWidth="11.421875" defaultRowHeight="15"/>
  <cols>
    <col min="1" max="1" width="9.28125" style="62" customWidth="1"/>
    <col min="2" max="3" width="22.28125" style="68" customWidth="1"/>
    <col min="4" max="4" width="36.140625" style="62" customWidth="1"/>
    <col min="5" max="5" width="17.28125" style="62" bestFit="1" customWidth="1"/>
    <col min="6" max="6" width="16.00390625" style="62" bestFit="1" customWidth="1"/>
    <col min="7" max="7" width="20.28125" style="62" customWidth="1"/>
    <col min="8" max="8" width="18.00390625" style="62" customWidth="1"/>
    <col min="9" max="9" width="103.00390625" style="62" customWidth="1"/>
    <col min="10" max="10" width="11.421875" style="62" customWidth="1"/>
    <col min="11" max="11" width="19.421875" style="2" bestFit="1" customWidth="1"/>
    <col min="12" max="12" width="16.00390625" style="2" bestFit="1" customWidth="1"/>
    <col min="13" max="13" width="18.140625" style="63" bestFit="1" customWidth="1"/>
    <col min="14" max="14" width="16.28125" style="62" bestFit="1" customWidth="1"/>
    <col min="15" max="15" width="18.140625" style="2" bestFit="1" customWidth="1"/>
    <col min="16" max="16" width="14.7109375" style="62" bestFit="1" customWidth="1"/>
    <col min="17" max="16384" width="11.421875" style="62" customWidth="1"/>
  </cols>
  <sheetData>
    <row r="1" spans="2:9" ht="21" customHeight="1">
      <c r="B1" s="692" t="s">
        <v>49</v>
      </c>
      <c r="C1" s="692"/>
      <c r="D1" s="692"/>
      <c r="E1" s="692"/>
      <c r="F1" s="692"/>
      <c r="G1" s="692"/>
      <c r="H1" s="692"/>
      <c r="I1" s="692"/>
    </row>
    <row r="2" spans="2:9" ht="21" customHeight="1">
      <c r="B2" s="692" t="s">
        <v>221</v>
      </c>
      <c r="C2" s="692"/>
      <c r="D2" s="692"/>
      <c r="E2" s="692"/>
      <c r="F2" s="692"/>
      <c r="G2" s="692"/>
      <c r="H2" s="692"/>
      <c r="I2" s="692"/>
    </row>
    <row r="3" spans="4:9" ht="15.75" customHeight="1" thickBot="1">
      <c r="D3" s="1"/>
      <c r="E3" s="1"/>
      <c r="F3" s="1"/>
      <c r="G3" s="1"/>
      <c r="H3" s="1"/>
      <c r="I3" s="1"/>
    </row>
    <row r="4" spans="2:9" ht="31.5" thickBot="1">
      <c r="B4" s="75" t="s">
        <v>113</v>
      </c>
      <c r="C4" s="101" t="s">
        <v>197</v>
      </c>
      <c r="D4" s="77" t="s">
        <v>143</v>
      </c>
      <c r="E4" s="76" t="s">
        <v>131</v>
      </c>
      <c r="F4" s="77" t="s">
        <v>109</v>
      </c>
      <c r="G4" s="77" t="s">
        <v>132</v>
      </c>
      <c r="H4" s="76" t="s">
        <v>170</v>
      </c>
      <c r="I4" s="78" t="s">
        <v>130</v>
      </c>
    </row>
    <row r="5" spans="2:17" s="63" customFormat="1" ht="30.75">
      <c r="B5" s="686" t="s">
        <v>21</v>
      </c>
      <c r="C5" s="688" t="s">
        <v>21</v>
      </c>
      <c r="D5" s="82" t="s">
        <v>158</v>
      </c>
      <c r="E5" s="83">
        <v>10000000</v>
      </c>
      <c r="F5" s="84">
        <v>1</v>
      </c>
      <c r="G5" s="84" t="s">
        <v>133</v>
      </c>
      <c r="H5" s="85">
        <f>+E5*F5</f>
        <v>10000000</v>
      </c>
      <c r="I5" s="86" t="s">
        <v>222</v>
      </c>
      <c r="J5" s="62"/>
      <c r="K5" s="2"/>
      <c r="L5" s="50"/>
      <c r="N5" s="62"/>
      <c r="O5" s="2"/>
      <c r="P5" s="62"/>
      <c r="Q5" s="62"/>
    </row>
    <row r="6" spans="2:17" s="63" customFormat="1" ht="46.5" thickBot="1">
      <c r="B6" s="687"/>
      <c r="C6" s="689"/>
      <c r="D6" s="87" t="s">
        <v>111</v>
      </c>
      <c r="E6" s="73">
        <f>ROUND((5600000*3.5%)+5600000,-3)</f>
        <v>5796000</v>
      </c>
      <c r="F6" s="74">
        <v>12</v>
      </c>
      <c r="G6" s="74" t="s">
        <v>133</v>
      </c>
      <c r="H6" s="88">
        <f>+F6*E6</f>
        <v>69552000</v>
      </c>
      <c r="I6" s="89" t="s">
        <v>192</v>
      </c>
      <c r="J6" s="62"/>
      <c r="K6" s="2"/>
      <c r="L6" s="50"/>
      <c r="N6" s="62"/>
      <c r="O6" s="2"/>
      <c r="P6" s="62"/>
      <c r="Q6" s="62"/>
    </row>
    <row r="7" spans="2:10" s="64" customFormat="1" ht="62.25" thickBot="1">
      <c r="B7" s="71" t="s">
        <v>20</v>
      </c>
      <c r="C7" s="110" t="s">
        <v>20</v>
      </c>
      <c r="D7" s="111" t="s">
        <v>178</v>
      </c>
      <c r="E7" s="112">
        <f>24000000*0.19+24000000</f>
        <v>28560000</v>
      </c>
      <c r="F7" s="113">
        <v>1</v>
      </c>
      <c r="G7" s="110" t="s">
        <v>179</v>
      </c>
      <c r="H7" s="103">
        <f>+E7*F7</f>
        <v>28560000</v>
      </c>
      <c r="I7" s="114" t="s">
        <v>193</v>
      </c>
      <c r="J7" s="65"/>
    </row>
    <row r="8" spans="2:14" s="64" customFormat="1" ht="30" customHeight="1">
      <c r="B8" s="690" t="s">
        <v>223</v>
      </c>
      <c r="C8" s="115" t="s">
        <v>187</v>
      </c>
      <c r="D8" s="104" t="s">
        <v>190</v>
      </c>
      <c r="E8" s="105">
        <v>3850000</v>
      </c>
      <c r="F8" s="106">
        <f>24*45</f>
        <v>1080</v>
      </c>
      <c r="G8" s="107" t="s">
        <v>224</v>
      </c>
      <c r="H8" s="108">
        <f>+E8/30*F8</f>
        <v>138600000</v>
      </c>
      <c r="I8" s="109" t="s">
        <v>191</v>
      </c>
      <c r="J8" s="66"/>
      <c r="K8" s="66"/>
      <c r="L8" s="67"/>
      <c r="M8"/>
      <c r="N8"/>
    </row>
    <row r="9" spans="2:12" s="64" customFormat="1" ht="62.25" thickBot="1">
      <c r="B9" s="691"/>
      <c r="C9" s="74" t="s">
        <v>199</v>
      </c>
      <c r="D9" s="93" t="s">
        <v>195</v>
      </c>
      <c r="E9" s="94">
        <v>30000000</v>
      </c>
      <c r="F9" s="95">
        <v>1</v>
      </c>
      <c r="G9" s="96" t="s">
        <v>200</v>
      </c>
      <c r="H9" s="97">
        <f>+E9*F9</f>
        <v>30000000</v>
      </c>
      <c r="I9" s="98" t="s">
        <v>196</v>
      </c>
      <c r="J9" s="66"/>
      <c r="K9" s="66"/>
      <c r="L9" s="67"/>
    </row>
    <row r="10" spans="2:17" s="100" customFormat="1" ht="31.5" thickBot="1">
      <c r="B10" s="99" t="s">
        <v>194</v>
      </c>
      <c r="C10" s="102" t="s">
        <v>198</v>
      </c>
      <c r="D10" s="90" t="s">
        <v>180</v>
      </c>
      <c r="E10" s="69">
        <v>150000</v>
      </c>
      <c r="F10" s="91">
        <v>11</v>
      </c>
      <c r="G10" s="92" t="s">
        <v>225</v>
      </c>
      <c r="H10" s="103">
        <f>+E10*F10</f>
        <v>1650000</v>
      </c>
      <c r="I10" s="70" t="s">
        <v>226</v>
      </c>
      <c r="J10" s="79"/>
      <c r="K10" s="80"/>
      <c r="L10" s="79"/>
      <c r="M10" s="79"/>
      <c r="N10" s="79"/>
      <c r="O10" s="81"/>
      <c r="P10" s="79"/>
      <c r="Q10" s="79"/>
    </row>
    <row r="11" spans="2:9" ht="15.75" customHeight="1" thickBot="1">
      <c r="B11" s="683" t="s">
        <v>202</v>
      </c>
      <c r="C11" s="684"/>
      <c r="D11" s="684"/>
      <c r="E11" s="684"/>
      <c r="F11" s="684"/>
      <c r="G11" s="685"/>
      <c r="H11" s="116">
        <f>SUM(H5:H10)</f>
        <v>278362000</v>
      </c>
      <c r="I11" s="117"/>
    </row>
    <row r="12" ht="15">
      <c r="H12" s="72"/>
    </row>
    <row r="14" ht="15">
      <c r="H14" s="72"/>
    </row>
  </sheetData>
  <sheetProtection/>
  <mergeCells count="6">
    <mergeCell ref="B11:G11"/>
    <mergeCell ref="B5:B6"/>
    <mergeCell ref="C5:C6"/>
    <mergeCell ref="B8:B9"/>
    <mergeCell ref="B1:I1"/>
    <mergeCell ref="B2:I2"/>
  </mergeCells>
  <printOptions horizontalCentered="1"/>
  <pageMargins left="0.1968503937007874" right="0.1968503937007874" top="1.1811023622047245" bottom="0.1968503937007874" header="0.31496062992125984" footer="0.31496062992125984"/>
  <pageSetup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LENOVO</cp:lastModifiedBy>
  <cp:lastPrinted>2023-03-09T16:11:06Z</cp:lastPrinted>
  <dcterms:created xsi:type="dcterms:W3CDTF">2015-08-20T16:35:16Z</dcterms:created>
  <dcterms:modified xsi:type="dcterms:W3CDTF">2024-07-07T20:34:30Z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