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355" windowHeight="11835" tabRatio="785" firstSheet="1" activeTab="1"/>
  </bookViews>
  <sheets>
    <sheet name="CONSOLIDADO X PROY" sheetId="1" state="hidden" r:id="rId1"/>
    <sheet name="Solicitudes 2024" sheetId="2" r:id="rId2"/>
    <sheet name="RESUMEN" sheetId="3" state="hidden" r:id="rId3"/>
    <sheet name="ORGANIGRAMA" sheetId="4" state="hidden" r:id="rId4"/>
    <sheet name="INTEGRACIÓN " sheetId="5" state="hidden" r:id="rId5"/>
    <sheet name="JUSTIF VIATICO INTEGRACION" sheetId="6" state="hidden" r:id="rId6"/>
  </sheets>
  <externalReferences>
    <externalReference r:id="rId9"/>
    <externalReference r:id="rId10"/>
    <externalReference r:id="rId11"/>
    <externalReference r:id="rId12"/>
    <externalReference r:id="rId13"/>
  </externalReferences>
  <definedNames>
    <definedName name="_xlnm._FilterDatabase" localSheetId="4" hidden="1">'INTEGRACIÓN '!$B$5:$J$19</definedName>
    <definedName name="_xlfn.CUBESETCOUNT" hidden="1">#NAME?</definedName>
    <definedName name="_xlfn.IFERROR" hidden="1">#NAME?</definedName>
    <definedName name="_xlnm.Print_Area" localSheetId="4">'INTEGRACIÓN '!$B$1:$IV$19</definedName>
    <definedName name="data">#REF!</definedName>
    <definedName name="Estres">#REF!</definedName>
    <definedName name="FECFIN" localSheetId="0">#REF!</definedName>
    <definedName name="FECFIN" localSheetId="1">#REF!</definedName>
    <definedName name="FECFIN">#REF!</definedName>
    <definedName name="FECHAF" localSheetId="0">#REF!</definedName>
    <definedName name="FECHAF" localSheetId="1">#REF!</definedName>
    <definedName name="FECHAF">#REF!</definedName>
    <definedName name="FECHAFIN" localSheetId="0">'[1]RECAUDO OK'!$M$59</definedName>
    <definedName name="FECHAFIN" localSheetId="1">'[1]RECAUDO OK'!$M$59</definedName>
    <definedName name="FECHAFIN">'[2]RECAUDO OK'!$M$59</definedName>
    <definedName name="FECHAI" localSheetId="0">#REF!</definedName>
    <definedName name="FECHAI" localSheetId="1">#REF!</definedName>
    <definedName name="FECHAI">#REF!</definedName>
    <definedName name="FECHAINI" localSheetId="0">'[1]RECAUDO OK'!$M$58</definedName>
    <definedName name="FECHAINI" localSheetId="1">'[1]RECAUDO OK'!$M$58</definedName>
    <definedName name="FECHAINI">'[2]RECAUDO OK'!$M$58</definedName>
    <definedName name="FECINI" localSheetId="0">#REF!</definedName>
    <definedName name="FECINI" localSheetId="1">#REF!</definedName>
    <definedName name="FECINI">#REF!</definedName>
    <definedName name="FECINIC" localSheetId="0">#REF!</definedName>
    <definedName name="FECINIC" localSheetId="1">#REF!</definedName>
    <definedName name="FECINIC">#REF!</definedName>
    <definedName name="FEFIN" localSheetId="0">'[1]RECAUDO OK'!#REF!</definedName>
    <definedName name="FEFIN" localSheetId="1">'[1]RECAUDO OK'!#REF!</definedName>
    <definedName name="FEFIN">'[2]RECAUDO OK'!#REF!</definedName>
  </definedNames>
  <calcPr fullCalcOnLoad="1"/>
</workbook>
</file>

<file path=xl/sharedStrings.xml><?xml version="1.0" encoding="utf-8"?>
<sst xmlns="http://schemas.openxmlformats.org/spreadsheetml/2006/main" count="429" uniqueCount="292">
  <si>
    <t>AÑO</t>
  </si>
  <si>
    <t>RECAUDO</t>
  </si>
  <si>
    <t>FUNCIONAMIENTO</t>
  </si>
  <si>
    <t>TOTAL</t>
  </si>
  <si>
    <t>Correo</t>
  </si>
  <si>
    <t>Viáticos y Gastos de viaje</t>
  </si>
  <si>
    <t>Capacitación y divulgación</t>
  </si>
  <si>
    <t xml:space="preserve">Materiales y suministros </t>
  </si>
  <si>
    <t>SERVICIOS PERSONALES</t>
  </si>
  <si>
    <t xml:space="preserve">Honorarios </t>
  </si>
  <si>
    <t>GASTOS GENERALES</t>
  </si>
  <si>
    <t>Cuota de Auditaje C.G.R.</t>
  </si>
  <si>
    <t>DIRECCION DE CADENAS AGRICOLAS Y FORESTALES</t>
  </si>
  <si>
    <t>PROGRAMA DE SEGUIMIENTO Y EVALUACION FONDOS PARAFISCALES</t>
  </si>
  <si>
    <t>FONDO NACIONAL DE FOMENTO DE LA PAPA</t>
  </si>
  <si>
    <t>CUENTAS</t>
  </si>
  <si>
    <t>INGRESOS OPERACIONALES</t>
  </si>
  <si>
    <t>Cuota de Fomento</t>
  </si>
  <si>
    <t>Intereses por Mora</t>
  </si>
  <si>
    <t>INGRESOS NO OPERACIONALES</t>
  </si>
  <si>
    <t>Otros Ingresos</t>
  </si>
  <si>
    <t>Ingresos Financieros</t>
  </si>
  <si>
    <t>TOTAL INGRESOS</t>
  </si>
  <si>
    <t>EGRESOS</t>
  </si>
  <si>
    <t>FUNCIONAMIENTO:</t>
  </si>
  <si>
    <t>Sueldos</t>
  </si>
  <si>
    <t>Vacaciones</t>
  </si>
  <si>
    <t>Prima legal</t>
  </si>
  <si>
    <t xml:space="preserve">Dotación y suministro </t>
  </si>
  <si>
    <t>Cesantías</t>
  </si>
  <si>
    <t>Intereses de cesantías</t>
  </si>
  <si>
    <t>Seguros y/o fondos privados</t>
  </si>
  <si>
    <t>Caja de compensación</t>
  </si>
  <si>
    <t>Servicios públicos</t>
  </si>
  <si>
    <t>Impresos y publicaciones</t>
  </si>
  <si>
    <t>Transportes fletes y acarreos</t>
  </si>
  <si>
    <t>Comisiones y gastos bancarios</t>
  </si>
  <si>
    <t xml:space="preserve">Arriendos </t>
  </si>
  <si>
    <t>Gastos Junta Directiva</t>
  </si>
  <si>
    <t xml:space="preserve">Contraprestación </t>
  </si>
  <si>
    <t>ESTUDIOS Y PROYECTOS</t>
  </si>
  <si>
    <t>RESERVA PROY. INV. Y GT.</t>
  </si>
  <si>
    <t>TOTAL PRESUPUESTO</t>
  </si>
  <si>
    <t>Cifra de control</t>
  </si>
  <si>
    <t>%</t>
  </si>
  <si>
    <t>VALOR</t>
  </si>
  <si>
    <t>Auxilio de Transporte</t>
  </si>
  <si>
    <t>Superávit Vigencias anteriores</t>
  </si>
  <si>
    <t>CANTIDAD</t>
  </si>
  <si>
    <t>MATERIALES Y SUMINISTROS</t>
  </si>
  <si>
    <t>ARRIENDOS</t>
  </si>
  <si>
    <t>Viáticos</t>
  </si>
  <si>
    <t>VARIACIÓN</t>
  </si>
  <si>
    <t>VLR UNITARIO</t>
  </si>
  <si>
    <t xml:space="preserve">JUSTIFICACIÓN </t>
  </si>
  <si>
    <t>UND MEDIDA</t>
  </si>
  <si>
    <t>Meses</t>
  </si>
  <si>
    <t>PASANTE SENA</t>
  </si>
  <si>
    <t>ASISTENTE DE RECAUDO</t>
  </si>
  <si>
    <t>Comercialización</t>
  </si>
  <si>
    <t>Cuota de Fomento vigencias anteriores</t>
  </si>
  <si>
    <t>ÍTEM</t>
  </si>
  <si>
    <t>ATL</t>
  </si>
  <si>
    <t>BTL</t>
  </si>
  <si>
    <t>Digital</t>
  </si>
  <si>
    <t>ZONA 2</t>
  </si>
  <si>
    <t>ZONA 3</t>
  </si>
  <si>
    <t>ZONA 4</t>
  </si>
  <si>
    <t>ZONA 5</t>
  </si>
  <si>
    <t>ZONA 6</t>
  </si>
  <si>
    <t>MES</t>
  </si>
  <si>
    <t>ZONAS</t>
  </si>
  <si>
    <t>ZONA 1</t>
  </si>
  <si>
    <t>INTERESES</t>
  </si>
  <si>
    <t>Honorarios jurídico</t>
  </si>
  <si>
    <t>Análisis de suelo</t>
  </si>
  <si>
    <t>Mantenimiento</t>
  </si>
  <si>
    <t>Seguros, impuestos y gastos legales</t>
  </si>
  <si>
    <t>ITPA</t>
  </si>
  <si>
    <t>ZONA 7</t>
  </si>
  <si>
    <t>ZONA 8</t>
  </si>
  <si>
    <t>ANALISTA DE RECAUDO</t>
  </si>
  <si>
    <t>CUOTA DE ADMINISTRACIÓN</t>
  </si>
  <si>
    <t>INVERSIÓN:</t>
  </si>
  <si>
    <t>TOTAL INVERSIÓN Y FUNCIONAMIENTO</t>
  </si>
  <si>
    <t>Honorarios Auditoria</t>
  </si>
  <si>
    <t>Muebles y equipo de oficina</t>
  </si>
  <si>
    <t>DIRECTOR DE RECAUDO</t>
  </si>
  <si>
    <t>VIGENCIA ACTUAL</t>
  </si>
  <si>
    <t>VIGENCIA ANTERIOR</t>
  </si>
  <si>
    <t>Insumos agrícolas lotes de pruebas</t>
  </si>
  <si>
    <t>DIVULGACION</t>
  </si>
  <si>
    <t>Minituberculos</t>
  </si>
  <si>
    <t>Insumos agrícolas</t>
  </si>
  <si>
    <t>PROFESIONAL - GENETICO</t>
  </si>
  <si>
    <t>Análisis foliares</t>
  </si>
  <si>
    <t>PROFESIONAL ESTUDIOS ECONOMICOS</t>
  </si>
  <si>
    <t>EXTENSIONISTAS 18</t>
  </si>
  <si>
    <t>PROFESIONAL DE CONTROL Y SEGUIMIENTO A RECAUDO</t>
  </si>
  <si>
    <t>Nómina</t>
  </si>
  <si>
    <t>VIÁTICOS Y GASTOS DE VIAJE</t>
  </si>
  <si>
    <t>DIVULGACIÓN</t>
  </si>
  <si>
    <t>Kits</t>
  </si>
  <si>
    <t>ZONA 9</t>
  </si>
  <si>
    <t>ZONA 10</t>
  </si>
  <si>
    <t xml:space="preserve">Trampas Tecia solanivora (feromonas e implementos)  </t>
  </si>
  <si>
    <t>ASESOR DE RECAUDO ZONA 10</t>
  </si>
  <si>
    <t>Insumos Agrícolas</t>
  </si>
  <si>
    <t>SISTEMATIZADOR CUOTA FOMENTO</t>
  </si>
  <si>
    <t>GESTOR DE PROYECTOS</t>
  </si>
  <si>
    <t>Estudios económicos</t>
  </si>
  <si>
    <t>Investigación de consumo per cápita de papa en Colombia</t>
  </si>
  <si>
    <t>Estudio de percepción de la categoría</t>
  </si>
  <si>
    <t>% PARTICIPACIÓN POR CANAL</t>
  </si>
  <si>
    <t>FACTOR PRECIO</t>
  </si>
  <si>
    <t>FACTOR GESTIÓN</t>
  </si>
  <si>
    <t>DIFERENCIA</t>
  </si>
  <si>
    <t>Investigación y transferencia de tecnología</t>
  </si>
  <si>
    <t>VARIACION ABSOLUTA</t>
  </si>
  <si>
    <t>COORDINADOR DE CONTROL Y SEGUIMIENTO A RECAUDO</t>
  </si>
  <si>
    <t xml:space="preserve">Estudio de herramientas para la caracterización edafoclimática en el cultivo de papa en Colombia. </t>
  </si>
  <si>
    <t xml:space="preserve">Honorarios estudiante pasantía </t>
  </si>
  <si>
    <t xml:space="preserve">Honorarios estudiante auxiliar </t>
  </si>
  <si>
    <t xml:space="preserve">Acuerdo prestación de servicios con productor para labores mediante pago </t>
  </si>
  <si>
    <t>EQUIPO DE LABORATORIO Y CAMPO</t>
  </si>
  <si>
    <t>Pruebas de evaluación agronómica (Registro)</t>
  </si>
  <si>
    <t xml:space="preserve">Análisis foliares </t>
  </si>
  <si>
    <t>VLR TOTAL 
2023</t>
  </si>
  <si>
    <t>Estudio exploratorio sobre el desarrollo de estrategias y mecanismos para  la estabilización de precios en el subsector de la papa.</t>
  </si>
  <si>
    <t>Investigación y desarrollo de subproductos agroindustriales.</t>
  </si>
  <si>
    <t>Investigación nutricional de variedades de papa.</t>
  </si>
  <si>
    <t>DIRECTOR ADMINISTRATIVO</t>
  </si>
  <si>
    <t>PROFESIONAL DE IMPUTACION DE PAGOS Y RECAUDO</t>
  </si>
  <si>
    <t>ANALISTA AREA TECNICA</t>
  </si>
  <si>
    <t>ASISTENTE AREA TECNICA</t>
  </si>
  <si>
    <t>GESTOR PRESUPUESTAL</t>
  </si>
  <si>
    <t>SUPERVISOR DIVULGACION</t>
  </si>
  <si>
    <t>GESTOR DE INFORMACIÓN DOCUMENTAL</t>
  </si>
  <si>
    <t>CREATIVO DE MARCA</t>
  </si>
  <si>
    <t>Honorarios mesas ayuda SAP</t>
  </si>
  <si>
    <t xml:space="preserve">Estudio de prefactibilidad para la intervención del mercado de insumos agropecuarios a partir de la creación de una unidad estratégica en fertilizantes en zona productora de representatividad en la producción de papa. </t>
  </si>
  <si>
    <t xml:space="preserve">Estudio de proyección comercial, económica y financiera de mercados internacionales potenciales para la papa
y sus subproductos industriales </t>
  </si>
  <si>
    <t>GENETICO</t>
  </si>
  <si>
    <t>SEMILLA</t>
  </si>
  <si>
    <t>CONSUMO</t>
  </si>
  <si>
    <t>ECONOMICO</t>
  </si>
  <si>
    <t>Honorarios</t>
  </si>
  <si>
    <t>Semillas</t>
  </si>
  <si>
    <t xml:space="preserve">Insumos de laboratorio y campo de investigación para patógenos de suelo. </t>
  </si>
  <si>
    <t>COORDINADOR DE ANÁLISIS SIG</t>
  </si>
  <si>
    <t>GESTOR ANALITICA Y SISTEMAS DE INFORMACION</t>
  </si>
  <si>
    <t xml:space="preserve">Medición de áreas sembradas de papa a través de la implementación de técnicas espaciales y/o imágenes satelitales aplicadas al cultivo de la papa.  </t>
  </si>
  <si>
    <t>Honorarios Fito mejorador</t>
  </si>
  <si>
    <t>Programa de transferencia de tecnología a través de la ampliación de oferta de tubérculo semilla -  categoría certificada</t>
  </si>
  <si>
    <t>INGRESOS</t>
  </si>
  <si>
    <t>Analisis de virus y patogenos normatividad ICA</t>
  </si>
  <si>
    <t>VIGENCIA ACTUAL 2024</t>
  </si>
  <si>
    <t>VIGENCIA ANTERIOR 2024</t>
  </si>
  <si>
    <t>INGRESOS CUOTA 2024</t>
  </si>
  <si>
    <t>INTERESES 2024</t>
  </si>
  <si>
    <t>PROYECTADO 2023</t>
  </si>
  <si>
    <t>% GESTIÓN 2024</t>
  </si>
  <si>
    <t>META 2024</t>
  </si>
  <si>
    <t>PROYECTADA 2023</t>
  </si>
  <si>
    <t>CANAL DE COMERCIALIZACION</t>
  </si>
  <si>
    <t>CUADRO CONTROL DE APROPIACION  2024</t>
  </si>
  <si>
    <t>VLR TOTAL 
2024</t>
  </si>
  <si>
    <t>CONCEPTO</t>
  </si>
  <si>
    <t>UNIDAD</t>
  </si>
  <si>
    <t>Honorarios Soporte de Operaciones</t>
  </si>
  <si>
    <t>COORDINADOR DE MARCA</t>
  </si>
  <si>
    <t>Honorarios - Plan Estratégico 2025-2026</t>
  </si>
  <si>
    <t>ANALISTA SISTEMAS DE INFORMACION</t>
  </si>
  <si>
    <t xml:space="preserve">Estudio para el análisis de la vulnerabilidad por riesgo climatico en el cultivo de papa en Colombia. </t>
  </si>
  <si>
    <t>COORDINADOR LABORATORIO DE PROPAGACIÓN</t>
  </si>
  <si>
    <t>AUXLIAR TÉCNICO DE INVERNADERO</t>
  </si>
  <si>
    <t>SUBDIRECTOR CAMPAÑA DE CONSUMO</t>
  </si>
  <si>
    <t>DIRECTOR ESTUDIOS ECONOMICOS</t>
  </si>
  <si>
    <t>DIRECTOR INVESTIGACIÓN Y TRANSFERENCIA DE TECNOLOGÍA</t>
  </si>
  <si>
    <t>PROFESIONAL DE APOYO TECNICO</t>
  </si>
  <si>
    <t xml:space="preserve">Honorarios técnico de campo </t>
  </si>
  <si>
    <t>Equipo de laboratorio y campo</t>
  </si>
  <si>
    <t xml:space="preserve">ASOCIATIVIDAD </t>
  </si>
  <si>
    <t>POP</t>
  </si>
  <si>
    <t>Estudios empresarización</t>
  </si>
  <si>
    <t>SERVICIOS PUBLICOS</t>
  </si>
  <si>
    <t>CONTRAPRESTACION</t>
  </si>
  <si>
    <t>RESERVA 2024</t>
  </si>
  <si>
    <t>NOMINA 2024</t>
  </si>
  <si>
    <t xml:space="preserve">de incremento </t>
  </si>
  <si>
    <t>en planta</t>
  </si>
  <si>
    <t xml:space="preserve">en el 2023 la nomina </t>
  </si>
  <si>
    <t>era de 63 personas</t>
  </si>
  <si>
    <t>COORDINADOR DE CAMPO SEMILLA</t>
  </si>
  <si>
    <t>6</t>
  </si>
  <si>
    <t>TÉCNICO - PROPAGACIÓN INVERNADERO Y CAMPO</t>
  </si>
  <si>
    <t>TÉCNICO - PROPAGACIÓN DE LABORATORIO</t>
  </si>
  <si>
    <t>SUPERVISOR DE INVESTIGACION GENÉTICO</t>
  </si>
  <si>
    <t>Estudio diseño de estrategias para el mejoramiento del desempeño ambiental de la cadena de la papa en Colombia.</t>
  </si>
  <si>
    <t>Estudio  de caracterización de tecnologías y diseño de estrategia logística para la optimización del subsector papa en Colombia.</t>
  </si>
  <si>
    <t xml:space="preserve">Estudio de competitividad de la induistria de la papa procesada a partir de la aplicación de estrategias de inteligencia de mercados. </t>
  </si>
  <si>
    <t>DIRECTOR EMPRESARIZACIÓN</t>
  </si>
  <si>
    <t>COORDINADOR DE NEGOCIOS</t>
  </si>
  <si>
    <t xml:space="preserve">COORDINADOR DE GESTIÓN AGROINDUSTRIAL </t>
  </si>
  <si>
    <t>PROFESIONAL ADMINISTRATIVO Y FINANCIERO</t>
  </si>
  <si>
    <t>SUPERVISOR DE PRODUCCIÓN AGRÍCOLA</t>
  </si>
  <si>
    <t>PROFESIONAL DE GESTIÓN SOCIAL</t>
  </si>
  <si>
    <t>COORDINADOR FINANCIERO Y ADMINISTRATIVO</t>
  </si>
  <si>
    <t>5</t>
  </si>
  <si>
    <t>% participación de la nomina frente la inversión total</t>
  </si>
  <si>
    <t>$ funcionamiento frente al total de la inversion</t>
  </si>
  <si>
    <t>$ proyectos frente al total de la inversion</t>
  </si>
  <si>
    <t>$ contraprestacion frente al total de la inversion</t>
  </si>
  <si>
    <t>% variación frente al ppto 2023</t>
  </si>
  <si>
    <t>SUPERVISORES 3</t>
  </si>
  <si>
    <t xml:space="preserve">Honorarios Plan de Formación </t>
  </si>
  <si>
    <t xml:space="preserve">Honorarios Consultor Agroindustrial </t>
  </si>
  <si>
    <t>Kit de estandarización de procesos agroindustriales</t>
  </si>
  <si>
    <t>kits</t>
  </si>
  <si>
    <t>Análisis y caracterización de producto</t>
  </si>
  <si>
    <t>Transformacion y agregacion de valor</t>
  </si>
  <si>
    <t>TRANSFORMACION</t>
  </si>
  <si>
    <t>CONTRAPARTIDA FEDEPAPA</t>
  </si>
  <si>
    <t>Pruebas de evaluación genómica</t>
  </si>
  <si>
    <t>PRESUPUESTO DE GASTOS PARA PROYECTO DE INTEGRACIÓN GENERACIONAL PARA LA  VIGENCIA 2024</t>
  </si>
  <si>
    <t>Honorarios acompañamiento al plan de aula (en diseño de escuela multigrado)</t>
  </si>
  <si>
    <t>Se requiere la prestación de servicios profesionales de un pedagogo para las 30 sesiones en cada colegio de acuerdo con el cronograma construido. Esta profesional se encargará de sensibilizar con herramientas pedagógicas a las partes intervinientes en el proceso de intervención de este proyecto, con el fin de implementar los contenidos abordados en el plan de aula dirigidos a los jóvenes bajo un formato de escuela multigrado.</t>
  </si>
  <si>
    <t>Freidora</t>
  </si>
  <si>
    <t xml:space="preserve">Freidora </t>
  </si>
  <si>
    <t>Se requiere la compra de dos freidoras de 10 litros,  que se ajusten a las necesidades del modulo de transformación y valor agregado. Esta herramienta se usará para el desarrollo de productos con los alumnos y el profesional líder de transformación, quien dirigirá las sesiones en dicho módulo en cada uno de los colegios sujetos de intervención. Este rubro presenta un incremento del 100% teniendo en cuenta que es un proyecto nuevo.</t>
  </si>
  <si>
    <t>Kit de insumos para análisis y evaluación de características agronómicas para realización de talleres en laboratorio.</t>
  </si>
  <si>
    <t>Se requiere la compra de dos (02) kits de elementos de análisis de suelos, reactivos, conservación de muestras y demás elementos que  se puedan requerir para el ejercicio de observación y análisis por parte de los estudiantes en la fase de campo. Este rubro presenta un incremento del 100% teniendo en cuenta que es un proyecto nuevo.</t>
  </si>
  <si>
    <t>Se requiere la compra de dos (02) kits para 2 escuelas (con un promedio cada una de 30 estudiantes) para actividades de procesamiento y estandarización  de proceso agroindustriales que incluye:  Bata desechable, cofia, tapabocas, guantes, polainas, morral básico, cuaderno, esfero, lápiz, tajalápiz y borrador, entre otros. Este rubro presenta un incremento del 100% teniendo en cuenta que es un proyecto nuevo.</t>
  </si>
  <si>
    <t xml:space="preserve">Refrigerios jornadas de capacitación </t>
  </si>
  <si>
    <t>Jornadas x Colegio</t>
  </si>
  <si>
    <t>Se contempla la entrega de 20 refrigerios por cada sesión (30 sesiones) para cada colegio participante (2 colegios participantes) en el proyecto. Este rubro presenta un incremento del 100% teniendo en cuenta que es un proyecto nuevo.</t>
  </si>
  <si>
    <t>Material divulgativo</t>
  </si>
  <si>
    <t>Kits divulgativos</t>
  </si>
  <si>
    <t>Se contempla la adquisición de dos (02) kits con material divulgativo que contemple cartillas para los jovenes, impresiones, invitaciones a los encuentros comerciales, impresión de logos del proyecto que se usaran durante los cuatro (04) módulos de la formación y el encuentro comercial de l proyecto de integración generacional. Este rubro presenta un incremento del 100% teniendo en cuenta que es un proyecto nuevo.</t>
  </si>
  <si>
    <t>Se requieren viáticos y gastos de viaje para realizar treinta (30) viajes por escuela participante (2 escuelas) para realizar la formación  en 2 departamentos (Boyacá y Cundinamarca). Para los desplazamientos, se contemplan los viajes del profesional en pedagogía y acompañamientos de profesionales del FNFP. Este rubro presenta un incremento del 100% teniendo en cuenta que es un proyecto nuevo.</t>
  </si>
  <si>
    <t>% VARIACION 2023 - 2024</t>
  </si>
  <si>
    <t>Ingresos</t>
  </si>
  <si>
    <t>PRESUPUESTO DE GASTOS PARA GENERACIÓN DE COMPETENCIAS PRODUCTIVAS EN JÓVENES RURALES, COMO HERRAMIENTA PARA FORTALECER LA INTEGRACIÓN GENERACIONAL Y LA CREACIÓN DE INICIATIVAS DE NEGOCIO INNOVADORAS EN EL SUBSECTOR PAPA VIGENCIA 2024</t>
  </si>
  <si>
    <t>APROP 2024</t>
  </si>
  <si>
    <t>AC 22-2023</t>
  </si>
  <si>
    <t>APROP DEF</t>
  </si>
  <si>
    <t>AÑO 2024</t>
  </si>
  <si>
    <t>EJECUCIÓN</t>
  </si>
  <si>
    <t>AJUSTE</t>
  </si>
  <si>
    <t xml:space="preserve"> TOTAL</t>
  </si>
  <si>
    <t>SALDO</t>
  </si>
  <si>
    <t>EJECUTADO</t>
  </si>
  <si>
    <t>EJECUCION</t>
  </si>
  <si>
    <t>LIQ SUPERÁVIT</t>
  </si>
  <si>
    <t>ADICIÓN</t>
  </si>
  <si>
    <t>DISMINUCIÓN</t>
  </si>
  <si>
    <t>ACUERDO 04-2024</t>
  </si>
  <si>
    <t>AC 05-2024</t>
  </si>
  <si>
    <t>AC 09-2024</t>
  </si>
  <si>
    <t>Empresarización</t>
  </si>
  <si>
    <t>1ER TRIM 2024</t>
  </si>
  <si>
    <t>2DO TRIM 2024</t>
  </si>
  <si>
    <t>3ER TRIM 2024</t>
  </si>
  <si>
    <t>4TO TRIM 2024</t>
  </si>
  <si>
    <t>AC 12-2024</t>
  </si>
  <si>
    <t>Servicios de aseo, vigilancia y seguridad</t>
  </si>
  <si>
    <t>TRASLADO</t>
  </si>
  <si>
    <t>INTERNO No03/2024</t>
  </si>
  <si>
    <t>Aportes ICBF</t>
  </si>
  <si>
    <t>Aportes SENA</t>
  </si>
  <si>
    <t>Indemnizaciones</t>
  </si>
  <si>
    <t>Reparaciones</t>
  </si>
  <si>
    <t>Arrendamientos</t>
  </si>
  <si>
    <t>Impresos, publicaciones, suscripciones y afiliaciones</t>
  </si>
  <si>
    <t>Fotocopias</t>
  </si>
  <si>
    <t>Comunicaciones y transporte - correo</t>
  </si>
  <si>
    <t>Muebles, enseres y equipo de oficina</t>
  </si>
  <si>
    <t>Equipos de comunicación y computación</t>
  </si>
  <si>
    <t>Gastos del máximo órgano de dirección</t>
  </si>
  <si>
    <t>Cuota de fiscalización y auditaje</t>
  </si>
  <si>
    <t>Implementación de la gestión documental</t>
  </si>
  <si>
    <t>Gestión de calidad</t>
  </si>
  <si>
    <t>Capacitación</t>
  </si>
  <si>
    <t>Divulgación</t>
  </si>
  <si>
    <t>Contraprestación por Administración</t>
  </si>
  <si>
    <t>Combustibles y lubricantes</t>
  </si>
  <si>
    <t>Materiales y equipo de laboratorio y campo</t>
  </si>
  <si>
    <t>Gastos de laboratorio</t>
  </si>
  <si>
    <t>Alquiler de maquinaria y equipo</t>
  </si>
  <si>
    <t>AJUSTE VIG</t>
  </si>
  <si>
    <t>AC 11-2024</t>
  </si>
  <si>
    <r>
      <t xml:space="preserve">Materiales y suministros </t>
    </r>
    <r>
      <rPr>
        <sz val="8"/>
        <rFont val="Arial Narrow"/>
        <family val="2"/>
      </rPr>
      <t>(insumos agrícolas y pecuarios)</t>
    </r>
  </si>
</sst>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quot;\ * #,##0.00_);_(&quot;$&quot;\ * \(#,##0.00\);_(&quot;$&quot;\ * &quot;-&quot;??_);_(@_)"/>
    <numFmt numFmtId="171" formatCode="_(* #,##0.00_);_(* \(#,##0.00\);_(* &quot;-&quot;??_);_(@_)"/>
    <numFmt numFmtId="172" formatCode="_-* #,##0.00\ &quot;€&quot;_-;\-* #,##0.00\ &quot;€&quot;_-;_-* &quot;-&quot;??\ &quot;€&quot;_-;_-@_-"/>
    <numFmt numFmtId="173" formatCode="_-* #,##0.00\ _€_-;\-* #,##0.00\ _€_-;_-* &quot;-&quot;??\ _€_-;_-@_-"/>
    <numFmt numFmtId="174" formatCode="0.0%"/>
    <numFmt numFmtId="175" formatCode="0.000%"/>
    <numFmt numFmtId="176" formatCode="_ * #,##0.00_ ;_ * \-#,##0.00_ ;_ * &quot;-&quot;??_ ;_ @_ "/>
    <numFmt numFmtId="177" formatCode="_-&quot;$&quot;* #,##0_-;\-&quot;$&quot;* #,##0_-;_-&quot;$&quot;* &quot;-&quot;??_-;_-@_-"/>
    <numFmt numFmtId="178" formatCode="_ * #,##0_ ;_ * \-#,##0_ ;_ * &quot;-&quot;??_ ;_ @_ "/>
    <numFmt numFmtId="179" formatCode="[$$-240A]#,##0.00"/>
    <numFmt numFmtId="180" formatCode="[$$-240A]#,##0"/>
    <numFmt numFmtId="181" formatCode="_-* #,##0\ _€_-;\-* #,##0\ _€_-;_-* &quot;-&quot;??\ _€_-;_-@_-"/>
    <numFmt numFmtId="182" formatCode="0.0000%"/>
    <numFmt numFmtId="183" formatCode="_-* #,##0_-;\-* #,##0_-;_-* &quot;-&quot;??_-;_-@_-"/>
    <numFmt numFmtId="184" formatCode="#,##0\ _€"/>
    <numFmt numFmtId="185" formatCode="[$$-240A]#,##0;\-[$$-240A]#,##0"/>
    <numFmt numFmtId="186" formatCode="_-* #,##0.00_-;\-* #,##0.00_-;_-* &quot;-&quot;_-;_-@_-"/>
    <numFmt numFmtId="187" formatCode="_(* #,##0_);_(* \(#,##0\);_(* &quot;-&quot;??_);_(@_)"/>
    <numFmt numFmtId="188" formatCode="_-* #,##0.0000_-;\-* #,##0.0000_-;_-* &quot;-&quot;??_-;_-@_-"/>
    <numFmt numFmtId="189" formatCode="_(&quot;$&quot;\ * #,##0_);_(&quot;$&quot;\ * \(#,##0\);_(&quot;$&quot;\ * &quot;-&quot;??_);_(@_)"/>
    <numFmt numFmtId="190" formatCode="_-&quot;$&quot;\ * #,##0_-;\-&quot;$&quot;\ * #,##0_-;_-&quot;$&quot;\ * &quot;-&quot;??_-;_-@_-"/>
    <numFmt numFmtId="191" formatCode="[$$-240A]\ #,##0"/>
    <numFmt numFmtId="192" formatCode="_-* #,##0.000_-;\-* #,##0.000_-;_-* &quot;-&quot;??_-;_-@_-"/>
    <numFmt numFmtId="193" formatCode="_-&quot;$&quot;* #,##0_-;\-&quot;$&quot;* #,##0_-;_-&quot;$&quot;* &quot;-&quot;??_-;_-@"/>
    <numFmt numFmtId="194" formatCode="_-&quot;$&quot;\ * #,##0_-;\-&quot;$&quot;\ * #,##0_-;_-&quot;$&quot;\ * &quot;-&quot;??_-;_-@"/>
    <numFmt numFmtId="195" formatCode="_-&quot;$&quot;\ * #,##0_-;\-&quot;$&quot;\ * #,##0_-;_-&quot;$&quot;\ * &quot;-&quot;_-;_-@"/>
    <numFmt numFmtId="196" formatCode="#,##0.0"/>
    <numFmt numFmtId="197" formatCode="_-&quot;$&quot;* #,##0_-;\-&quot;$&quot;* #,##0_-;_-&quot;$&quot;* &quot;-&quot;_-;_-@"/>
    <numFmt numFmtId="198" formatCode="_-* #,##0.0\ _€_-;\-* #,##0.0\ _€_-;_-* &quot;-&quot;??\ _€_-;_-@_-"/>
    <numFmt numFmtId="199" formatCode="&quot;Sí&quot;;&quot;Sí&quot;;&quot;No&quot;"/>
    <numFmt numFmtId="200" formatCode="&quot;Verdadero&quot;;&quot;Verdadero&quot;;&quot;Falso&quot;"/>
    <numFmt numFmtId="201" formatCode="&quot;Activado&quot;;&quot;Activado&quot;;&quot;Desactivado&quot;"/>
    <numFmt numFmtId="202" formatCode="[$€-2]\ #,##0.00_);[Red]\([$€-2]\ #,##0.00\)"/>
    <numFmt numFmtId="203" formatCode="0.0"/>
    <numFmt numFmtId="204" formatCode="[$-240A]dddd\,\ d\ &quot;de&quot;\ mmmm\ &quot;de&quot;\ yyyy"/>
    <numFmt numFmtId="205" formatCode="[$-240A]h:mm:ss\ AM/PM"/>
    <numFmt numFmtId="206" formatCode="_-* #,##0.0_-;\-* #,##0.0_-;_-* &quot;-&quot;_-;_-@_-"/>
    <numFmt numFmtId="207" formatCode="&quot;$&quot;\ #,##0.00"/>
    <numFmt numFmtId="208" formatCode="&quot;$&quot;\ #,##0.0"/>
    <numFmt numFmtId="209" formatCode="&quot;$&quot;\ #,##0"/>
    <numFmt numFmtId="210" formatCode="_-&quot;$&quot;* #,##0.0_-;\-&quot;$&quot;* #,##0.0_-;_-&quot;$&quot;* &quot;-&quot;??_-;_-@_-"/>
    <numFmt numFmtId="211" formatCode="_-&quot;$&quot;* #,##0.00_-;\-&quot;$&quot;* #,##0.00_-;_-&quot;$&quot;* &quot;-&quot;??_-;_-@"/>
    <numFmt numFmtId="212" formatCode="_-&quot;$&quot;\ * #,##0.0_-;\-&quot;$&quot;\ * #,##0.0_-;_-&quot;$&quot;\ * &quot;-&quot;_-;_-@_-"/>
    <numFmt numFmtId="213" formatCode="_-&quot;$&quot;\ * #,##0.00_-;\-&quot;$&quot;\ * #,##0.00_-;_-&quot;$&quot;\ * &quot;-&quot;_-;_-@_-"/>
    <numFmt numFmtId="214" formatCode="_-&quot;$&quot;* #,##0.000_-;\-&quot;$&quot;* #,##0.000_-;_-&quot;$&quot;* &quot;-&quot;??_-;_-@_-"/>
    <numFmt numFmtId="215" formatCode="_-&quot;$&quot;* #,##0.0000_-;\-&quot;$&quot;* #,##0.0000_-;_-&quot;$&quot;* &quot;-&quot;??_-;_-@_-"/>
    <numFmt numFmtId="216" formatCode="_-&quot;$&quot;* #,##0.00000_-;\-&quot;$&quot;* #,##0.00000_-;_-&quot;$&quot;* &quot;-&quot;??_-;_-@_-"/>
    <numFmt numFmtId="217" formatCode="_-&quot;$&quot;* #,##0.000000_-;\-&quot;$&quot;* #,##0.000000_-;_-&quot;$&quot;* &quot;-&quot;??_-;_-@_-"/>
    <numFmt numFmtId="218" formatCode="_-* #,##0.000\ _€_-;\-* #,##0.000\ _€_-;_-* &quot;-&quot;??\ _€_-;_-@_-"/>
    <numFmt numFmtId="219" formatCode="_-* #,##0.0000\ _€_-;\-* #,##0.0000\ _€_-;_-* &quot;-&quot;??\ _€_-;_-@_-"/>
    <numFmt numFmtId="220" formatCode="_-* #,##0.00000\ _€_-;\-* #,##0.00000\ _€_-;_-* &quot;-&quot;??\ _€_-;_-@_-"/>
    <numFmt numFmtId="221" formatCode="_-* #,##0.000000\ _€_-;\-* #,##0.000000\ _€_-;_-* &quot;-&quot;??\ _€_-;_-@_-"/>
  </numFmts>
  <fonts count="81">
    <font>
      <sz val="11"/>
      <color theme="1"/>
      <name val="Calibri"/>
      <family val="2"/>
    </font>
    <font>
      <sz val="11"/>
      <color indexed="8"/>
      <name val="Calibri"/>
      <family val="2"/>
    </font>
    <font>
      <sz val="10"/>
      <name val="Arial"/>
      <family val="2"/>
    </font>
    <font>
      <b/>
      <sz val="12"/>
      <name val="Arial Narrow"/>
      <family val="2"/>
    </font>
    <font>
      <sz val="12"/>
      <name val="Arial Narrow"/>
      <family val="2"/>
    </font>
    <font>
      <sz val="10"/>
      <name val="MS Sans Serif"/>
      <family val="2"/>
    </font>
    <font>
      <sz val="11"/>
      <name val="Calibri"/>
      <family val="2"/>
    </font>
    <font>
      <sz val="14"/>
      <name val="Century Gothic"/>
      <family val="2"/>
    </font>
    <font>
      <sz val="11"/>
      <name val="Century Gothic"/>
      <family val="2"/>
    </font>
    <font>
      <b/>
      <sz val="14"/>
      <name val="Century Gothic"/>
      <family val="2"/>
    </font>
    <font>
      <sz val="14"/>
      <name val="Arial"/>
      <family val="2"/>
    </font>
    <font>
      <sz val="8"/>
      <name val="Arial Narrow"/>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10"/>
      <name val="Arial Narrow"/>
      <family val="2"/>
    </font>
    <font>
      <sz val="12"/>
      <color indexed="8"/>
      <name val="Arial Narrow"/>
      <family val="2"/>
    </font>
    <font>
      <b/>
      <sz val="12"/>
      <color indexed="8"/>
      <name val="Arial Narrow"/>
      <family val="2"/>
    </font>
    <font>
      <b/>
      <sz val="12"/>
      <color indexed="26"/>
      <name val="Arial Narrow"/>
      <family val="2"/>
    </font>
    <font>
      <b/>
      <sz val="12"/>
      <color indexed="62"/>
      <name val="Arial Narrow"/>
      <family val="2"/>
    </font>
    <font>
      <b/>
      <sz val="12"/>
      <color indexed="60"/>
      <name val="Arial Narrow"/>
      <family val="2"/>
    </font>
    <font>
      <sz val="12"/>
      <color indexed="62"/>
      <name val="Arial Narrow"/>
      <family val="2"/>
    </font>
    <font>
      <sz val="12"/>
      <color indexed="9"/>
      <name val="Arial Narrow"/>
      <family val="2"/>
    </font>
    <font>
      <sz val="11"/>
      <color indexed="9"/>
      <name val="Century Gothic"/>
      <family val="2"/>
    </font>
    <font>
      <sz val="11"/>
      <color indexed="62"/>
      <name val="Century Gothic"/>
      <family val="2"/>
    </font>
    <font>
      <sz val="14"/>
      <color indexed="9"/>
      <name val="Century Gothic"/>
      <family val="2"/>
    </font>
    <font>
      <b/>
      <sz val="14"/>
      <color indexed="9"/>
      <name val="Century Gothic"/>
      <family val="2"/>
    </font>
    <font>
      <sz val="11"/>
      <color indexed="9"/>
      <name val="Arial"/>
      <family val="2"/>
    </font>
    <font>
      <b/>
      <sz val="14"/>
      <color indexed="10"/>
      <name val="Arial"/>
      <family val="2"/>
    </font>
    <font>
      <sz val="11"/>
      <color indexed="10"/>
      <name val="Arial"/>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2"/>
      <color theme="1"/>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FF0000"/>
      <name val="Arial Narrow"/>
      <family val="2"/>
    </font>
    <font>
      <sz val="12"/>
      <color theme="1"/>
      <name val="Arial Narrow"/>
      <family val="2"/>
    </font>
    <font>
      <b/>
      <sz val="12"/>
      <color theme="1"/>
      <name val="Arial Narrow"/>
      <family val="2"/>
    </font>
    <font>
      <b/>
      <sz val="12"/>
      <color rgb="FFFFF1D1"/>
      <name val="Arial Narrow"/>
      <family val="2"/>
    </font>
    <font>
      <b/>
      <sz val="12"/>
      <color theme="8" tint="-0.4999699890613556"/>
      <name val="Arial Narrow"/>
      <family val="2"/>
    </font>
    <font>
      <b/>
      <sz val="12"/>
      <color rgb="FFC00000"/>
      <name val="Arial Narrow"/>
      <family val="2"/>
    </font>
    <font>
      <sz val="12"/>
      <color theme="8" tint="-0.4999699890613556"/>
      <name val="Arial Narrow"/>
      <family val="2"/>
    </font>
    <font>
      <sz val="12"/>
      <color theme="0"/>
      <name val="Arial Narrow"/>
      <family val="2"/>
    </font>
    <font>
      <sz val="11"/>
      <color theme="0"/>
      <name val="Century Gothic"/>
      <family val="2"/>
    </font>
    <font>
      <sz val="11"/>
      <color theme="8"/>
      <name val="Century Gothic"/>
      <family val="2"/>
    </font>
    <font>
      <sz val="14"/>
      <color theme="0"/>
      <name val="Century Gothic"/>
      <family val="2"/>
    </font>
    <font>
      <b/>
      <sz val="14"/>
      <color theme="0"/>
      <name val="Century Gothic"/>
      <family val="2"/>
    </font>
    <font>
      <sz val="11"/>
      <color theme="0"/>
      <name val="Arial"/>
      <family val="2"/>
    </font>
    <font>
      <b/>
      <sz val="14"/>
      <color rgb="FFFF0000"/>
      <name val="Arial"/>
      <family val="2"/>
    </font>
    <font>
      <sz val="11"/>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3499799966812134"/>
        <bgColor indexed="64"/>
      </patternFill>
    </fill>
    <fill>
      <patternFill patternType="solid">
        <fgColor rgb="FF71336C"/>
        <bgColor indexed="64"/>
      </patternFill>
    </fill>
    <fill>
      <patternFill patternType="solid">
        <fgColor theme="0"/>
        <bgColor indexed="64"/>
      </patternFill>
    </fill>
    <fill>
      <patternFill patternType="solid">
        <fgColor theme="0" tint="-0.04997999966144562"/>
        <bgColor indexed="64"/>
      </patternFill>
    </fill>
    <fill>
      <patternFill patternType="solid">
        <fgColor rgb="FFEDD7EB"/>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hair"/>
      <top/>
      <bottom style="hair"/>
    </border>
    <border>
      <left style="hair"/>
      <right style="hair"/>
      <top/>
      <bottom style="hair"/>
    </border>
    <border>
      <left style="medium"/>
      <right style="hair"/>
      <top style="hair"/>
      <bottom style="hair"/>
    </border>
    <border>
      <left style="hair"/>
      <right style="hair"/>
      <top style="hair"/>
      <bottom style="hair"/>
    </border>
    <border>
      <left style="medium"/>
      <right style="hair"/>
      <top style="hair"/>
      <bottom/>
    </border>
    <border>
      <left style="hair"/>
      <right style="hair"/>
      <top style="hair"/>
      <bottom/>
    </border>
    <border>
      <left style="medium"/>
      <right style="hair"/>
      <top style="medium"/>
      <bottom style="medium"/>
    </border>
    <border>
      <left style="hair"/>
      <right style="hair"/>
      <top style="medium"/>
      <bottom style="medium"/>
    </border>
    <border>
      <left style="medium"/>
      <right style="hair"/>
      <top style="medium"/>
      <bottom style="hair"/>
    </border>
    <border>
      <left style="medium"/>
      <right style="hair"/>
      <top style="hair"/>
      <bottom style="mediu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thin"/>
    </border>
    <border>
      <left style="hair"/>
      <right style="medium"/>
      <top/>
      <bottom style="hair"/>
    </border>
    <border>
      <left style="hair"/>
      <right style="medium"/>
      <top style="hair"/>
      <bottom style="hair"/>
    </border>
    <border>
      <left style="hair"/>
      <right style="medium"/>
      <top style="medium"/>
      <bottom style="medium"/>
    </border>
    <border>
      <left style="thin"/>
      <right style="thin"/>
      <top style="thin"/>
      <bottom style="medium"/>
    </border>
    <border>
      <left style="thin">
        <color rgb="FF800080"/>
      </left>
      <right style="thin">
        <color rgb="FF800080"/>
      </right>
      <top style="thin">
        <color rgb="FF800080"/>
      </top>
      <bottom style="thin">
        <color rgb="FF800080"/>
      </bottom>
    </border>
    <border>
      <left/>
      <right/>
      <top/>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style="medium"/>
      <top/>
      <bottom style="medium"/>
    </border>
    <border>
      <left/>
      <right style="medium"/>
      <top style="medium"/>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thin"/>
    </border>
    <border>
      <left style="thin"/>
      <right/>
      <top style="thin"/>
      <bottom style="medium"/>
    </border>
    <border>
      <left style="medium"/>
      <right style="thin"/>
      <top/>
      <bottom style="medium"/>
    </border>
    <border>
      <left style="thin"/>
      <right style="thin"/>
      <top/>
      <bottom style="medium"/>
    </border>
    <border>
      <left style="thin"/>
      <right/>
      <top/>
      <bottom style="medium"/>
    </border>
    <border>
      <left style="thin"/>
      <right style="medium"/>
      <top style="thin"/>
      <bottom/>
    </border>
    <border>
      <left style="medium"/>
      <right style="thin"/>
      <top style="thin"/>
      <bottom style="medium"/>
    </border>
    <border>
      <left/>
      <right style="medium"/>
      <top style="medium"/>
      <bottom style="thin"/>
    </border>
    <border>
      <left/>
      <right style="medium"/>
      <top style="thin"/>
      <bottom style="thin"/>
    </border>
    <border>
      <left/>
      <right style="medium"/>
      <top style="thin"/>
      <bottom style="medium"/>
    </border>
    <border>
      <left/>
      <right style="medium"/>
      <top/>
      <bottom style="medium"/>
    </border>
    <border>
      <left style="hair"/>
      <right style="medium"/>
      <top style="hair"/>
      <bottom style="medium"/>
    </border>
    <border>
      <left style="hair"/>
      <right/>
      <top style="hair"/>
      <bottom style="medium"/>
    </border>
    <border>
      <left style="hair"/>
      <right style="medium"/>
      <top style="medium"/>
      <bottom style="hair"/>
    </border>
    <border>
      <left style="hair"/>
      <right style="medium"/>
      <top style="hair"/>
      <bottom/>
    </border>
    <border>
      <left style="hair"/>
      <right style="hair"/>
      <top style="medium"/>
      <bottom style="hair"/>
    </border>
    <border>
      <left style="hair"/>
      <right style="hair"/>
      <top style="hair"/>
      <bottom style="medium"/>
    </border>
    <border>
      <left style="hair"/>
      <right/>
      <top style="medium"/>
      <bottom style="hair"/>
    </border>
    <border>
      <left style="hair"/>
      <right>
        <color indexed="63"/>
      </right>
      <top/>
      <bottom style="hair"/>
    </border>
    <border>
      <left style="hair"/>
      <right>
        <color indexed="63"/>
      </right>
      <top style="hair"/>
      <bottom style="hair"/>
    </border>
    <border>
      <left style="hair"/>
      <right>
        <color indexed="63"/>
      </right>
      <top style="hair"/>
      <bottom/>
    </border>
    <border>
      <left style="hair"/>
      <right>
        <color indexed="63"/>
      </right>
      <top style="medium"/>
      <bottom style="medium"/>
    </border>
    <border>
      <left style="medium"/>
      <right style="hair"/>
      <top style="medium"/>
      <bottom/>
    </border>
    <border>
      <left style="medium"/>
      <right style="hair"/>
      <top/>
      <bottom style="medium"/>
    </border>
    <border>
      <left style="hair"/>
      <right style="hair"/>
      <top style="medium"/>
      <bottom>
        <color indexed="63"/>
      </bottom>
    </border>
    <border>
      <left style="hair"/>
      <right style="hair"/>
      <top>
        <color indexed="63"/>
      </top>
      <bottom style="medium"/>
    </border>
  </borders>
  <cellStyleXfs count="64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4" applyNumberFormat="0" applyFill="0" applyAlignment="0" applyProtection="0"/>
    <xf numFmtId="0" fontId="52"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7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58"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6" fontId="2" fillId="0" borderId="0" applyFont="0" applyFill="0" applyBorder="0" applyAlignment="0" applyProtection="0"/>
    <xf numFmtId="171"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173" fontId="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2"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8" fontId="58"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69" fontId="2"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5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9" fillId="31" borderId="0" applyNumberFormat="0" applyBorder="0" applyAlignment="0" applyProtection="0"/>
    <xf numFmtId="0" fontId="2" fillId="0" borderId="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 fillId="0" borderId="0">
      <alignment/>
      <protection/>
    </xf>
    <xf numFmtId="0" fontId="2" fillId="0" borderId="0">
      <alignment/>
      <protection/>
    </xf>
    <xf numFmtId="0" fontId="2" fillId="0" borderId="0">
      <alignment/>
      <protection/>
    </xf>
    <xf numFmtId="0" fontId="58"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58"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2" fillId="0" borderId="8" applyNumberFormat="0" applyFill="0" applyAlignment="0" applyProtection="0"/>
    <xf numFmtId="0" fontId="65" fillId="0" borderId="9" applyNumberFormat="0" applyFill="0" applyAlignment="0" applyProtection="0"/>
  </cellStyleXfs>
  <cellXfs count="313">
    <xf numFmtId="0" fontId="0" fillId="0" borderId="0" xfId="0" applyFont="1" applyAlignment="1">
      <alignment/>
    </xf>
    <xf numFmtId="181" fontId="4" fillId="0" borderId="0" xfId="49" applyNumberFormat="1" applyFont="1" applyAlignment="1">
      <alignment/>
    </xf>
    <xf numFmtId="0" fontId="4" fillId="0" borderId="0" xfId="617" applyFont="1">
      <alignment/>
      <protection/>
    </xf>
    <xf numFmtId="181" fontId="3" fillId="0" borderId="0" xfId="49" applyNumberFormat="1" applyFont="1" applyBorder="1" applyAlignment="1">
      <alignment horizontal="center"/>
    </xf>
    <xf numFmtId="0" fontId="3" fillId="33" borderId="10" xfId="617" applyFont="1" applyFill="1" applyBorder="1" applyAlignment="1">
      <alignment/>
      <protection/>
    </xf>
    <xf numFmtId="181" fontId="3" fillId="33" borderId="11" xfId="49" applyNumberFormat="1" applyFont="1" applyFill="1" applyBorder="1" applyAlignment="1">
      <alignment/>
    </xf>
    <xf numFmtId="0" fontId="4" fillId="0" borderId="12" xfId="617" applyFont="1" applyBorder="1" applyAlignment="1">
      <alignment horizontal="left" indent="1"/>
      <protection/>
    </xf>
    <xf numFmtId="181" fontId="4" fillId="34" borderId="13" xfId="49" applyNumberFormat="1" applyFont="1" applyFill="1" applyBorder="1" applyAlignment="1">
      <alignment/>
    </xf>
    <xf numFmtId="181" fontId="4" fillId="0" borderId="13" xfId="49" applyNumberFormat="1" applyFont="1" applyBorder="1" applyAlignment="1">
      <alignment/>
    </xf>
    <xf numFmtId="0" fontId="3" fillId="33" borderId="12" xfId="617" applyFont="1" applyFill="1" applyBorder="1" applyAlignment="1">
      <alignment/>
      <protection/>
    </xf>
    <xf numFmtId="181" fontId="3" fillId="33" borderId="13" xfId="49" applyNumberFormat="1" applyFont="1" applyFill="1" applyBorder="1" applyAlignment="1">
      <alignment/>
    </xf>
    <xf numFmtId="0" fontId="3" fillId="33" borderId="12" xfId="617" applyFont="1" applyFill="1" applyBorder="1" applyAlignment="1">
      <alignment horizontal="centerContinuous"/>
      <protection/>
    </xf>
    <xf numFmtId="0" fontId="3" fillId="33" borderId="12" xfId="617" applyFont="1" applyFill="1" applyBorder="1" applyAlignment="1">
      <alignment horizontal="left"/>
      <protection/>
    </xf>
    <xf numFmtId="0" fontId="3" fillId="33" borderId="12" xfId="617" applyFont="1" applyFill="1" applyBorder="1" applyAlignment="1">
      <alignment horizontal="left" indent="1"/>
      <protection/>
    </xf>
    <xf numFmtId="0" fontId="4" fillId="0" borderId="12" xfId="617" applyFont="1" applyBorder="1" applyAlignment="1">
      <alignment horizontal="left" indent="2"/>
      <protection/>
    </xf>
    <xf numFmtId="3" fontId="4" fillId="0" borderId="12" xfId="617" applyNumberFormat="1" applyFont="1" applyFill="1" applyBorder="1" applyAlignment="1">
      <alignment horizontal="left" vertical="justify" wrapText="1" indent="2"/>
      <protection/>
    </xf>
    <xf numFmtId="181" fontId="4" fillId="0" borderId="13" xfId="49" applyNumberFormat="1" applyFont="1" applyBorder="1" applyAlignment="1">
      <alignment/>
    </xf>
    <xf numFmtId="181" fontId="3" fillId="33" borderId="13" xfId="49" applyNumberFormat="1" applyFont="1" applyFill="1" applyBorder="1" applyAlignment="1">
      <alignment/>
    </xf>
    <xf numFmtId="0" fontId="4" fillId="0" borderId="14" xfId="617" applyFont="1" applyBorder="1" applyAlignment="1">
      <alignment horizontal="left" indent="2"/>
      <protection/>
    </xf>
    <xf numFmtId="181" fontId="4" fillId="34" borderId="15" xfId="49" applyNumberFormat="1" applyFont="1" applyFill="1" applyBorder="1" applyAlignment="1">
      <alignment/>
    </xf>
    <xf numFmtId="0" fontId="3" fillId="33" borderId="16" xfId="617" applyFont="1" applyFill="1" applyBorder="1" applyAlignment="1">
      <alignment horizontal="left" indent="1"/>
      <protection/>
    </xf>
    <xf numFmtId="181" fontId="3" fillId="33" borderId="17" xfId="49" applyNumberFormat="1" applyFont="1" applyFill="1" applyBorder="1" applyAlignment="1">
      <alignment/>
    </xf>
    <xf numFmtId="0" fontId="4" fillId="0" borderId="10" xfId="617" applyFont="1" applyBorder="1" applyAlignment="1">
      <alignment horizontal="left" indent="2"/>
      <protection/>
    </xf>
    <xf numFmtId="181" fontId="4" fillId="0" borderId="11" xfId="49" applyNumberFormat="1" applyFont="1" applyBorder="1" applyAlignment="1">
      <alignment/>
    </xf>
    <xf numFmtId="181" fontId="66" fillId="0" borderId="0" xfId="49" applyNumberFormat="1" applyFont="1" applyAlignment="1">
      <alignment/>
    </xf>
    <xf numFmtId="3" fontId="4" fillId="0" borderId="12" xfId="617" applyNumberFormat="1" applyFont="1" applyBorder="1" applyAlignment="1">
      <alignment horizontal="left" vertical="justify" wrapText="1" indent="2"/>
      <protection/>
    </xf>
    <xf numFmtId="181" fontId="4" fillId="34" borderId="13" xfId="49" applyNumberFormat="1" applyFont="1" applyFill="1" applyBorder="1" applyAlignment="1">
      <alignment/>
    </xf>
    <xf numFmtId="0" fontId="3" fillId="33" borderId="12" xfId="617" applyFont="1" applyFill="1" applyBorder="1" applyAlignment="1">
      <alignment horizontal="left" indent="2"/>
      <protection/>
    </xf>
    <xf numFmtId="0" fontId="3" fillId="33" borderId="18" xfId="617" applyFont="1" applyFill="1" applyBorder="1">
      <alignment/>
      <protection/>
    </xf>
    <xf numFmtId="0" fontId="3" fillId="33" borderId="12" xfId="617" applyFont="1" applyFill="1" applyBorder="1">
      <alignment/>
      <protection/>
    </xf>
    <xf numFmtId="0" fontId="3" fillId="33" borderId="19" xfId="617" applyFont="1" applyFill="1" applyBorder="1">
      <alignment/>
      <protection/>
    </xf>
    <xf numFmtId="0" fontId="3" fillId="0" borderId="0" xfId="617" applyFont="1">
      <alignment/>
      <protection/>
    </xf>
    <xf numFmtId="0" fontId="66" fillId="0" borderId="0" xfId="617" applyFont="1">
      <alignment/>
      <protection/>
    </xf>
    <xf numFmtId="181" fontId="4" fillId="0" borderId="0" xfId="49" applyNumberFormat="1" applyFont="1" applyFill="1" applyAlignment="1">
      <alignment/>
    </xf>
    <xf numFmtId="0" fontId="4" fillId="0" borderId="0" xfId="617" applyFont="1" applyFill="1">
      <alignment/>
      <protection/>
    </xf>
    <xf numFmtId="178" fontId="4" fillId="0" borderId="0" xfId="617" applyNumberFormat="1" applyFont="1" applyFill="1">
      <alignment/>
      <protection/>
    </xf>
    <xf numFmtId="181" fontId="4" fillId="0" borderId="0" xfId="617" applyNumberFormat="1" applyFont="1" applyFill="1">
      <alignment/>
      <protection/>
    </xf>
    <xf numFmtId="0" fontId="66" fillId="0" borderId="0" xfId="617" applyFont="1" applyFill="1">
      <alignment/>
      <protection/>
    </xf>
    <xf numFmtId="181" fontId="4" fillId="0" borderId="13" xfId="49" applyNumberFormat="1" applyFont="1" applyFill="1" applyBorder="1" applyAlignment="1">
      <alignment/>
    </xf>
    <xf numFmtId="181" fontId="4" fillId="0" borderId="13" xfId="49" applyNumberFormat="1" applyFont="1" applyFill="1" applyBorder="1" applyAlignment="1">
      <alignment/>
    </xf>
    <xf numFmtId="3" fontId="4" fillId="0" borderId="12" xfId="617" applyNumberFormat="1" applyFont="1" applyBorder="1" applyAlignment="1">
      <alignment horizontal="left" indent="2"/>
      <protection/>
    </xf>
    <xf numFmtId="0" fontId="3" fillId="0" borderId="0" xfId="617" applyFont="1" applyBorder="1" applyAlignment="1">
      <alignment horizontal="center"/>
      <protection/>
    </xf>
    <xf numFmtId="10" fontId="4" fillId="0" borderId="0" xfId="629" applyNumberFormat="1" applyFont="1" applyAlignment="1">
      <alignment horizontal="center" vertical="center"/>
    </xf>
    <xf numFmtId="0" fontId="4" fillId="0" borderId="0" xfId="617" applyFont="1" applyBorder="1">
      <alignment/>
      <protection/>
    </xf>
    <xf numFmtId="173" fontId="4" fillId="0" borderId="0" xfId="49" applyFont="1" applyAlignment="1">
      <alignment/>
    </xf>
    <xf numFmtId="0" fontId="4" fillId="0" borderId="0" xfId="0" applyFont="1" applyAlignment="1">
      <alignment vertical="center"/>
    </xf>
    <xf numFmtId="0" fontId="4" fillId="0" borderId="0" xfId="0" applyFont="1" applyAlignment="1">
      <alignment horizontal="center" vertical="center"/>
    </xf>
    <xf numFmtId="181" fontId="4" fillId="0" borderId="0" xfId="0" applyNumberFormat="1" applyFont="1" applyAlignment="1">
      <alignment vertical="center"/>
    </xf>
    <xf numFmtId="0" fontId="4" fillId="0" borderId="20" xfId="0" applyFont="1" applyBorder="1" applyAlignment="1">
      <alignment horizontal="left" vertical="center" wrapText="1"/>
    </xf>
    <xf numFmtId="10" fontId="3" fillId="35" borderId="21" xfId="629" applyNumberFormat="1" applyFont="1" applyFill="1" applyBorder="1" applyAlignment="1">
      <alignment horizontal="center" vertical="center" wrapText="1"/>
    </xf>
    <xf numFmtId="10" fontId="4" fillId="0" borderId="21" xfId="629" applyNumberFormat="1" applyFont="1" applyFill="1" applyBorder="1" applyAlignment="1">
      <alignment horizontal="center" vertical="center" wrapText="1"/>
    </xf>
    <xf numFmtId="0" fontId="4" fillId="0" borderId="0" xfId="0" applyFont="1" applyAlignment="1">
      <alignment horizontal="justify" vertical="center"/>
    </xf>
    <xf numFmtId="0" fontId="4" fillId="0" borderId="0" xfId="0" applyFont="1" applyAlignment="1">
      <alignment vertical="center" wrapText="1"/>
    </xf>
    <xf numFmtId="10" fontId="4" fillId="0" borderId="0" xfId="629" applyNumberFormat="1" applyFont="1" applyFill="1" applyAlignment="1">
      <alignment horizontal="center" vertical="center"/>
    </xf>
    <xf numFmtId="0" fontId="67" fillId="0" borderId="0" xfId="0" applyFont="1" applyAlignment="1">
      <alignment/>
    </xf>
    <xf numFmtId="10" fontId="4" fillId="0" borderId="22" xfId="629" applyNumberFormat="1" applyFont="1" applyFill="1" applyBorder="1" applyAlignment="1">
      <alignment horizontal="center" vertical="center" wrapText="1"/>
    </xf>
    <xf numFmtId="44" fontId="4" fillId="0" borderId="0" xfId="0" applyNumberFormat="1" applyFont="1" applyAlignment="1">
      <alignment horizontal="justify" vertical="center"/>
    </xf>
    <xf numFmtId="0" fontId="4" fillId="0" borderId="23" xfId="0" applyFont="1" applyBorder="1" applyAlignment="1">
      <alignment horizontal="center" vertical="center"/>
    </xf>
    <xf numFmtId="177" fontId="4" fillId="0" borderId="0" xfId="515" applyNumberFormat="1" applyFont="1" applyAlignment="1">
      <alignment/>
    </xf>
    <xf numFmtId="177" fontId="3" fillId="0" borderId="0" xfId="515" applyNumberFormat="1" applyFont="1" applyBorder="1" applyAlignment="1">
      <alignment horizontal="center"/>
    </xf>
    <xf numFmtId="177" fontId="3" fillId="33" borderId="24" xfId="515" applyNumberFormat="1" applyFont="1" applyFill="1" applyBorder="1" applyAlignment="1">
      <alignment/>
    </xf>
    <xf numFmtId="177" fontId="4" fillId="0" borderId="25" xfId="515" applyNumberFormat="1" applyFont="1" applyBorder="1" applyAlignment="1">
      <alignment/>
    </xf>
    <xf numFmtId="177" fontId="4" fillId="0" borderId="25" xfId="515" applyNumberFormat="1" applyFont="1" applyFill="1" applyBorder="1" applyAlignment="1">
      <alignment/>
    </xf>
    <xf numFmtId="177" fontId="3" fillId="33" borderId="25" xfId="515" applyNumberFormat="1" applyFont="1" applyFill="1" applyBorder="1" applyAlignment="1">
      <alignment/>
    </xf>
    <xf numFmtId="177" fontId="3" fillId="33" borderId="26" xfId="515" applyNumberFormat="1" applyFont="1" applyFill="1" applyBorder="1" applyAlignment="1">
      <alignment/>
    </xf>
    <xf numFmtId="177" fontId="4" fillId="0" borderId="24" xfId="515" applyNumberFormat="1" applyFont="1" applyBorder="1" applyAlignment="1">
      <alignment/>
    </xf>
    <xf numFmtId="177" fontId="3" fillId="33" borderId="25" xfId="515" applyNumberFormat="1" applyFont="1" applyFill="1" applyBorder="1" applyAlignment="1">
      <alignment/>
    </xf>
    <xf numFmtId="177" fontId="66" fillId="0" borderId="0" xfId="515" applyNumberFormat="1" applyFont="1" applyAlignment="1">
      <alignment/>
    </xf>
    <xf numFmtId="0" fontId="4" fillId="0" borderId="27" xfId="0" applyFont="1" applyBorder="1" applyAlignment="1">
      <alignment horizontal="center" vertical="center"/>
    </xf>
    <xf numFmtId="181" fontId="4" fillId="0" borderId="15" xfId="49" applyNumberFormat="1" applyFont="1" applyBorder="1" applyAlignment="1">
      <alignment/>
    </xf>
    <xf numFmtId="0" fontId="68" fillId="0" borderId="0" xfId="620" applyFont="1" applyAlignment="1">
      <alignment vertical="center" wrapText="1"/>
      <protection/>
    </xf>
    <xf numFmtId="181" fontId="4" fillId="0" borderId="0" xfId="49" applyNumberFormat="1" applyFont="1" applyFill="1" applyAlignment="1">
      <alignment vertical="center"/>
    </xf>
    <xf numFmtId="177" fontId="4" fillId="0" borderId="23" xfId="515" applyNumberFormat="1" applyFont="1" applyFill="1" applyBorder="1" applyAlignment="1">
      <alignment horizontal="justify" vertical="center" wrapText="1"/>
    </xf>
    <xf numFmtId="0" fontId="67" fillId="0" borderId="0" xfId="620" applyFont="1" applyAlignment="1">
      <alignment vertical="center"/>
      <protection/>
    </xf>
    <xf numFmtId="181" fontId="67" fillId="0" borderId="0" xfId="80" applyNumberFormat="1" applyFont="1" applyAlignment="1">
      <alignment vertical="center"/>
    </xf>
    <xf numFmtId="10" fontId="67" fillId="0" borderId="0" xfId="634" applyNumberFormat="1" applyFont="1" applyAlignment="1">
      <alignment vertical="center"/>
    </xf>
    <xf numFmtId="0" fontId="68" fillId="0" borderId="0" xfId="620" applyFont="1" applyAlignment="1">
      <alignment vertical="center"/>
      <protection/>
    </xf>
    <xf numFmtId="177" fontId="4" fillId="0" borderId="0" xfId="515" applyNumberFormat="1" applyFont="1" applyAlignment="1">
      <alignment vertical="center"/>
    </xf>
    <xf numFmtId="177" fontId="4" fillId="0" borderId="0" xfId="515" applyNumberFormat="1" applyFont="1" applyAlignment="1">
      <alignment horizontal="left" vertical="center"/>
    </xf>
    <xf numFmtId="179" fontId="69" fillId="36" borderId="28" xfId="608" applyNumberFormat="1" applyFont="1" applyFill="1" applyBorder="1" applyAlignment="1">
      <alignment horizontal="center" vertical="center" wrapText="1"/>
    </xf>
    <xf numFmtId="177" fontId="69" fillId="36" borderId="28" xfId="608" applyNumberFormat="1" applyFont="1" applyFill="1" applyBorder="1" applyAlignment="1">
      <alignment horizontal="center" vertical="center" wrapText="1"/>
    </xf>
    <xf numFmtId="0" fontId="4" fillId="37" borderId="28" xfId="626" applyFont="1" applyFill="1" applyBorder="1" applyAlignment="1">
      <alignment horizontal="left" vertical="center"/>
      <protection/>
    </xf>
    <xf numFmtId="10" fontId="69" fillId="36" borderId="28" xfId="629" applyNumberFormat="1" applyFont="1" applyFill="1" applyBorder="1" applyAlignment="1">
      <alignment horizontal="center" vertical="center" wrapText="1"/>
    </xf>
    <xf numFmtId="42" fontId="4" fillId="0" borderId="28" xfId="517" applyFont="1" applyFill="1" applyBorder="1" applyAlignment="1">
      <alignment horizontal="center" vertical="center"/>
    </xf>
    <xf numFmtId="0" fontId="69" fillId="36" borderId="28" xfId="0" applyFont="1" applyFill="1" applyBorder="1" applyAlignment="1">
      <alignment horizontal="center" vertical="center" wrapText="1" readingOrder="1"/>
    </xf>
    <xf numFmtId="17" fontId="4" fillId="0" borderId="28" xfId="0" applyNumberFormat="1" applyFont="1" applyBorder="1" applyAlignment="1">
      <alignment horizontal="center" vertical="center" wrapText="1" readingOrder="1"/>
    </xf>
    <xf numFmtId="165" fontId="4" fillId="0" borderId="28" xfId="0" applyNumberFormat="1" applyFont="1" applyBorder="1" applyAlignment="1">
      <alignment vertical="center" wrapText="1" readingOrder="1"/>
    </xf>
    <xf numFmtId="0" fontId="69" fillId="36" borderId="28" xfId="0" applyFont="1" applyFill="1" applyBorder="1" applyAlignment="1">
      <alignment vertical="center" wrapText="1" readingOrder="1"/>
    </xf>
    <xf numFmtId="0" fontId="3" fillId="0" borderId="16" xfId="617" applyFont="1" applyFill="1" applyBorder="1" applyAlignment="1">
      <alignment horizontal="center" vertical="center"/>
      <protection/>
    </xf>
    <xf numFmtId="181" fontId="3" fillId="0" borderId="17" xfId="49" applyNumberFormat="1" applyFont="1" applyFill="1" applyBorder="1" applyAlignment="1">
      <alignment horizontal="center" vertical="center"/>
    </xf>
    <xf numFmtId="177" fontId="3" fillId="0" borderId="26" xfId="515" applyNumberFormat="1" applyFont="1" applyFill="1" applyBorder="1" applyAlignment="1">
      <alignment horizontal="center" vertical="center" wrapText="1"/>
    </xf>
    <xf numFmtId="0" fontId="4" fillId="0" borderId="12" xfId="617" applyFont="1" applyFill="1" applyBorder="1" applyAlignment="1">
      <alignment horizontal="left" indent="1"/>
      <protection/>
    </xf>
    <xf numFmtId="0" fontId="3" fillId="33" borderId="12" xfId="617" applyFont="1" applyFill="1" applyBorder="1" applyAlignment="1">
      <alignment horizontal="center"/>
      <protection/>
    </xf>
    <xf numFmtId="0" fontId="3" fillId="0" borderId="12" xfId="617" applyFont="1" applyFill="1" applyBorder="1" applyAlignment="1">
      <alignment/>
      <protection/>
    </xf>
    <xf numFmtId="181" fontId="3" fillId="0" borderId="13" xfId="49" applyNumberFormat="1" applyFont="1" applyFill="1" applyBorder="1" applyAlignment="1">
      <alignment/>
    </xf>
    <xf numFmtId="177" fontId="3" fillId="0" borderId="25" xfId="515" applyNumberFormat="1" applyFont="1" applyFill="1" applyBorder="1" applyAlignment="1">
      <alignment/>
    </xf>
    <xf numFmtId="0" fontId="3" fillId="38" borderId="12" xfId="617" applyFont="1" applyFill="1" applyBorder="1" applyAlignment="1">
      <alignment horizontal="left" indent="2"/>
      <protection/>
    </xf>
    <xf numFmtId="181" fontId="3" fillId="38" borderId="13" xfId="49" applyNumberFormat="1" applyFont="1" applyFill="1" applyBorder="1" applyAlignment="1">
      <alignment/>
    </xf>
    <xf numFmtId="177" fontId="3" fillId="38" borderId="25" xfId="515" applyNumberFormat="1" applyFont="1" applyFill="1" applyBorder="1" applyAlignment="1">
      <alignment/>
    </xf>
    <xf numFmtId="0" fontId="3" fillId="33" borderId="16" xfId="617" applyFont="1" applyFill="1" applyBorder="1">
      <alignment/>
      <protection/>
    </xf>
    <xf numFmtId="181" fontId="3" fillId="33" borderId="26" xfId="49" applyNumberFormat="1" applyFont="1" applyFill="1" applyBorder="1" applyAlignment="1">
      <alignment/>
    </xf>
    <xf numFmtId="0" fontId="4" fillId="0" borderId="12" xfId="617" applyFont="1" applyFill="1" applyBorder="1" applyAlignment="1">
      <alignment horizontal="left" indent="2"/>
      <protection/>
    </xf>
    <xf numFmtId="181" fontId="4" fillId="0" borderId="29" xfId="49" applyNumberFormat="1" applyFont="1" applyBorder="1" applyAlignment="1">
      <alignment/>
    </xf>
    <xf numFmtId="10" fontId="3" fillId="0" borderId="0" xfId="629" applyNumberFormat="1" applyFont="1" applyAlignment="1">
      <alignment horizontal="center"/>
    </xf>
    <xf numFmtId="10" fontId="3" fillId="0" borderId="0" xfId="629" applyNumberFormat="1" applyFont="1" applyFill="1" applyAlignment="1">
      <alignment horizontal="center"/>
    </xf>
    <xf numFmtId="177" fontId="3" fillId="0" borderId="0" xfId="515" applyNumberFormat="1" applyFont="1" applyAlignment="1">
      <alignment/>
    </xf>
    <xf numFmtId="181" fontId="3" fillId="0" borderId="0" xfId="49" applyNumberFormat="1" applyFont="1" applyAlignment="1">
      <alignment/>
    </xf>
    <xf numFmtId="49" fontId="4" fillId="0" borderId="0" xfId="0" applyNumberFormat="1" applyFont="1" applyAlignment="1">
      <alignment vertical="center" wrapText="1"/>
    </xf>
    <xf numFmtId="10" fontId="3" fillId="33" borderId="21" xfId="629" applyNumberFormat="1" applyFont="1" applyFill="1" applyBorder="1" applyAlignment="1">
      <alignment horizontal="center" vertical="center"/>
    </xf>
    <xf numFmtId="49" fontId="3" fillId="35" borderId="30" xfId="0" applyNumberFormat="1" applyFont="1" applyFill="1" applyBorder="1" applyAlignment="1">
      <alignment horizontal="center" vertical="center" wrapText="1"/>
    </xf>
    <xf numFmtId="177" fontId="3" fillId="35" borderId="31" xfId="515" applyNumberFormat="1" applyFont="1" applyFill="1" applyBorder="1" applyAlignment="1">
      <alignment horizontal="center" vertical="center" wrapText="1"/>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177" fontId="3" fillId="35" borderId="30" xfId="515" applyNumberFormat="1" applyFont="1" applyFill="1" applyBorder="1" applyAlignment="1">
      <alignment horizontal="center" vertical="center" wrapText="1"/>
    </xf>
    <xf numFmtId="10" fontId="3" fillId="35" borderId="33" xfId="629" applyNumberFormat="1" applyFont="1" applyFill="1" applyBorder="1" applyAlignment="1">
      <alignment horizontal="center" vertical="center" wrapText="1"/>
    </xf>
    <xf numFmtId="49" fontId="70" fillId="33" borderId="20" xfId="626" applyNumberFormat="1" applyFont="1" applyFill="1" applyBorder="1" applyAlignment="1">
      <alignment horizontal="left" vertical="center" wrapText="1"/>
      <protection/>
    </xf>
    <xf numFmtId="10" fontId="3" fillId="35" borderId="34" xfId="629" applyNumberFormat="1" applyFont="1" applyFill="1" applyBorder="1" applyAlignment="1">
      <alignment horizontal="center" vertical="center" wrapText="1"/>
    </xf>
    <xf numFmtId="10" fontId="3" fillId="35" borderId="35" xfId="629" applyNumberFormat="1" applyFont="1" applyFill="1" applyBorder="1" applyAlignment="1">
      <alignment horizontal="center" vertical="center" wrapText="1"/>
    </xf>
    <xf numFmtId="49" fontId="70" fillId="35" borderId="36" xfId="0" applyNumberFormat="1" applyFont="1" applyFill="1" applyBorder="1" applyAlignment="1">
      <alignment vertical="center" wrapText="1"/>
    </xf>
    <xf numFmtId="0" fontId="70" fillId="35" borderId="37" xfId="0" applyFont="1" applyFill="1" applyBorder="1" applyAlignment="1">
      <alignment vertical="center" wrapText="1"/>
    </xf>
    <xf numFmtId="0" fontId="70" fillId="35" borderId="38" xfId="0" applyFont="1" applyFill="1" applyBorder="1" applyAlignment="1">
      <alignment vertical="center" wrapText="1"/>
    </xf>
    <xf numFmtId="10" fontId="3" fillId="35" borderId="39" xfId="629" applyNumberFormat="1" applyFont="1" applyFill="1" applyBorder="1" applyAlignment="1">
      <alignment horizontal="center" vertical="center" wrapText="1"/>
    </xf>
    <xf numFmtId="49" fontId="70" fillId="35" borderId="20" xfId="0" applyNumberFormat="1" applyFont="1" applyFill="1" applyBorder="1" applyAlignment="1">
      <alignment vertical="center" wrapText="1"/>
    </xf>
    <xf numFmtId="0" fontId="70" fillId="35" borderId="23" xfId="0" applyFont="1" applyFill="1" applyBorder="1" applyAlignment="1">
      <alignment vertical="center" wrapText="1"/>
    </xf>
    <xf numFmtId="0" fontId="70" fillId="35" borderId="40" xfId="0" applyFont="1" applyFill="1" applyBorder="1" applyAlignment="1">
      <alignment vertical="center" wrapText="1"/>
    </xf>
    <xf numFmtId="1" fontId="70" fillId="33" borderId="23" xfId="185" applyNumberFormat="1" applyFont="1" applyFill="1" applyBorder="1" applyAlignment="1">
      <alignment horizontal="center" vertical="center"/>
    </xf>
    <xf numFmtId="177" fontId="70" fillId="33" borderId="40" xfId="613" applyNumberFormat="1" applyFont="1" applyFill="1" applyBorder="1" applyAlignment="1">
      <alignment horizontal="center" vertical="center" wrapText="1"/>
    </xf>
    <xf numFmtId="1" fontId="3" fillId="33" borderId="23" xfId="185" applyNumberFormat="1" applyFont="1" applyFill="1" applyBorder="1" applyAlignment="1">
      <alignment horizontal="center" vertical="center"/>
    </xf>
    <xf numFmtId="177" fontId="3" fillId="33" borderId="40" xfId="613" applyNumberFormat="1" applyFont="1" applyFill="1" applyBorder="1" applyAlignment="1">
      <alignment horizontal="center" vertical="center" wrapText="1"/>
    </xf>
    <xf numFmtId="177" fontId="3" fillId="33" borderId="23" xfId="0" applyNumberFormat="1" applyFont="1" applyFill="1" applyBorder="1" applyAlignment="1">
      <alignment horizontal="center" vertical="center"/>
    </xf>
    <xf numFmtId="177" fontId="3" fillId="33" borderId="40" xfId="0" applyNumberFormat="1" applyFont="1" applyFill="1" applyBorder="1" applyAlignment="1">
      <alignment horizontal="center" vertical="center" wrapText="1"/>
    </xf>
    <xf numFmtId="49" fontId="3" fillId="0" borderId="0" xfId="49" applyNumberFormat="1" applyFont="1" applyAlignment="1">
      <alignment horizontal="center"/>
    </xf>
    <xf numFmtId="181" fontId="71" fillId="0" borderId="0" xfId="49" applyNumberFormat="1" applyFont="1" applyAlignment="1">
      <alignment/>
    </xf>
    <xf numFmtId="0" fontId="4" fillId="0" borderId="40" xfId="0" applyFont="1" applyBorder="1" applyAlignment="1">
      <alignment horizontal="center" vertical="center" wrapText="1"/>
    </xf>
    <xf numFmtId="184" fontId="4" fillId="0" borderId="23" xfId="0" applyNumberFormat="1" applyFont="1" applyBorder="1" applyAlignment="1">
      <alignment horizontal="center" vertical="center" wrapText="1"/>
    </xf>
    <xf numFmtId="184" fontId="4" fillId="0" borderId="40" xfId="0" applyNumberFormat="1" applyFont="1" applyBorder="1" applyAlignment="1">
      <alignment horizontal="center" vertical="center" wrapText="1"/>
    </xf>
    <xf numFmtId="184" fontId="4" fillId="0" borderId="23" xfId="0" applyNumberFormat="1" applyFont="1" applyBorder="1" applyAlignment="1">
      <alignment horizontal="center" vertical="center"/>
    </xf>
    <xf numFmtId="177" fontId="4" fillId="0" borderId="41" xfId="0" applyNumberFormat="1" applyFont="1" applyBorder="1" applyAlignment="1">
      <alignment horizontal="center" vertical="center" wrapText="1"/>
    </xf>
    <xf numFmtId="10" fontId="3" fillId="0" borderId="0" xfId="629" applyNumberFormat="1" applyFont="1" applyAlignment="1">
      <alignment horizontal="left"/>
    </xf>
    <xf numFmtId="10" fontId="3" fillId="0" borderId="0" xfId="629" applyNumberFormat="1" applyFont="1" applyFill="1" applyAlignment="1">
      <alignment horizontal="left"/>
    </xf>
    <xf numFmtId="9" fontId="3" fillId="0" borderId="0" xfId="629" applyNumberFormat="1" applyFont="1" applyFill="1" applyAlignment="1">
      <alignment horizontal="center"/>
    </xf>
    <xf numFmtId="0" fontId="3" fillId="0" borderId="0" xfId="617" applyFont="1" applyAlignment="1">
      <alignment vertical="center"/>
      <protection/>
    </xf>
    <xf numFmtId="0" fontId="4" fillId="0" borderId="20" xfId="0" applyFont="1" applyBorder="1" applyAlignment="1">
      <alignment vertical="center" wrapText="1"/>
    </xf>
    <xf numFmtId="177" fontId="3" fillId="35" borderId="23" xfId="515" applyNumberFormat="1" applyFont="1" applyFill="1" applyBorder="1" applyAlignment="1">
      <alignment horizontal="left" vertical="center" wrapText="1"/>
    </xf>
    <xf numFmtId="177" fontId="4" fillId="0" borderId="23" xfId="515" applyNumberFormat="1" applyFont="1" applyFill="1" applyBorder="1" applyAlignment="1">
      <alignment horizontal="justify" vertical="center"/>
    </xf>
    <xf numFmtId="177" fontId="4" fillId="0" borderId="23" xfId="515" applyNumberFormat="1" applyFont="1" applyFill="1" applyBorder="1" applyAlignment="1">
      <alignment horizontal="left" vertical="center" wrapText="1"/>
    </xf>
    <xf numFmtId="177" fontId="70" fillId="33" borderId="23" xfId="515" applyNumberFormat="1" applyFont="1" applyFill="1" applyBorder="1" applyAlignment="1">
      <alignment vertical="center"/>
    </xf>
    <xf numFmtId="177" fontId="3" fillId="33" borderId="23" xfId="515" applyNumberFormat="1" applyFont="1" applyFill="1" applyBorder="1" applyAlignment="1">
      <alignment horizontal="left" vertical="center"/>
    </xf>
    <xf numFmtId="177" fontId="3" fillId="33" borderId="23" xfId="515" applyNumberFormat="1" applyFont="1" applyFill="1" applyBorder="1" applyAlignment="1">
      <alignment vertical="center"/>
    </xf>
    <xf numFmtId="49" fontId="70" fillId="35" borderId="42" xfId="626" applyNumberFormat="1" applyFont="1" applyFill="1" applyBorder="1" applyAlignment="1">
      <alignment horizontal="center" vertical="center" wrapText="1"/>
      <protection/>
    </xf>
    <xf numFmtId="177" fontId="3" fillId="35" borderId="43" xfId="515" applyNumberFormat="1" applyFont="1" applyFill="1" applyBorder="1" applyAlignment="1">
      <alignment vertical="center"/>
    </xf>
    <xf numFmtId="0" fontId="3" fillId="35" borderId="43" xfId="0" applyFont="1" applyFill="1" applyBorder="1" applyAlignment="1">
      <alignment vertical="center"/>
    </xf>
    <xf numFmtId="177" fontId="3" fillId="35" borderId="43" xfId="515" applyNumberFormat="1" applyFont="1" applyFill="1" applyBorder="1" applyAlignment="1">
      <alignment horizontal="left" vertical="center"/>
    </xf>
    <xf numFmtId="177" fontId="3" fillId="35" borderId="37" xfId="515" applyNumberFormat="1" applyFont="1" applyFill="1" applyBorder="1" applyAlignment="1">
      <alignment horizontal="left" vertical="center" wrapText="1"/>
    </xf>
    <xf numFmtId="177" fontId="4" fillId="0" borderId="27" xfId="515" applyNumberFormat="1" applyFont="1" applyFill="1" applyBorder="1" applyAlignment="1">
      <alignment horizontal="justify" vertical="center"/>
    </xf>
    <xf numFmtId="0" fontId="3" fillId="35" borderId="44" xfId="0" applyFont="1" applyFill="1" applyBorder="1" applyAlignment="1">
      <alignment vertical="center" wrapText="1"/>
    </xf>
    <xf numFmtId="177" fontId="3" fillId="35" borderId="36" xfId="515" applyNumberFormat="1" applyFont="1" applyFill="1" applyBorder="1" applyAlignment="1">
      <alignment horizontal="left" vertical="center" wrapText="1"/>
    </xf>
    <xf numFmtId="177" fontId="4" fillId="0" borderId="20" xfId="515" applyNumberFormat="1" applyFont="1" applyFill="1" applyBorder="1" applyAlignment="1">
      <alignment horizontal="justify" vertical="center"/>
    </xf>
    <xf numFmtId="177" fontId="3" fillId="35" borderId="20" xfId="515" applyNumberFormat="1" applyFont="1" applyFill="1" applyBorder="1" applyAlignment="1">
      <alignment horizontal="left" vertical="center" wrapText="1"/>
    </xf>
    <xf numFmtId="177" fontId="3" fillId="33" borderId="20" xfId="515" applyNumberFormat="1" applyFont="1" applyFill="1" applyBorder="1" applyAlignment="1">
      <alignment horizontal="left" vertical="center"/>
    </xf>
    <xf numFmtId="177" fontId="4" fillId="0" borderId="20" xfId="515" applyNumberFormat="1" applyFont="1" applyFill="1" applyBorder="1" applyAlignment="1">
      <alignment horizontal="left" vertical="center"/>
    </xf>
    <xf numFmtId="177" fontId="3" fillId="35" borderId="42" xfId="515" applyNumberFormat="1" applyFont="1" applyFill="1" applyBorder="1" applyAlignment="1">
      <alignment horizontal="left" vertical="center"/>
    </xf>
    <xf numFmtId="0" fontId="72" fillId="0" borderId="20" xfId="0" applyFont="1" applyBorder="1" applyAlignment="1">
      <alignment vertical="center" wrapText="1"/>
    </xf>
    <xf numFmtId="181" fontId="3" fillId="0" borderId="17" xfId="49" applyNumberFormat="1" applyFont="1" applyFill="1" applyBorder="1" applyAlignment="1">
      <alignment horizontal="center" vertical="center" wrapText="1"/>
    </xf>
    <xf numFmtId="177" fontId="4" fillId="0" borderId="0" xfId="617" applyNumberFormat="1" applyFont="1" applyFill="1">
      <alignment/>
      <protection/>
    </xf>
    <xf numFmtId="49" fontId="3" fillId="38" borderId="12" xfId="617" applyNumberFormat="1" applyFont="1" applyFill="1" applyBorder="1" applyAlignment="1">
      <alignment horizontal="left" indent="2"/>
      <protection/>
    </xf>
    <xf numFmtId="10" fontId="4" fillId="0" borderId="28" xfId="629" applyNumberFormat="1" applyFont="1" applyBorder="1" applyAlignment="1">
      <alignment horizontal="center" vertical="center" wrapText="1" readingOrder="1"/>
    </xf>
    <xf numFmtId="10" fontId="69" fillId="36" borderId="28" xfId="629" applyNumberFormat="1" applyFont="1" applyFill="1" applyBorder="1" applyAlignment="1">
      <alignment horizontal="center" vertical="center" wrapText="1" readingOrder="1"/>
    </xf>
    <xf numFmtId="10" fontId="4" fillId="0" borderId="28" xfId="629" applyNumberFormat="1" applyFont="1" applyFill="1" applyBorder="1" applyAlignment="1">
      <alignment horizontal="center" vertical="center" wrapText="1" readingOrder="1"/>
    </xf>
    <xf numFmtId="42" fontId="69" fillId="36" borderId="28" xfId="517" applyFont="1" applyFill="1" applyBorder="1" applyAlignment="1">
      <alignment horizontal="center" vertical="center"/>
    </xf>
    <xf numFmtId="3" fontId="69" fillId="36" borderId="28" xfId="0" applyNumberFormat="1" applyFont="1" applyFill="1" applyBorder="1" applyAlignment="1">
      <alignment horizontal="center" vertical="center"/>
    </xf>
    <xf numFmtId="0" fontId="69" fillId="36" borderId="28" xfId="626" applyFont="1" applyFill="1" applyBorder="1" applyAlignment="1">
      <alignment horizontal="center" vertical="center" wrapText="1"/>
      <protection/>
    </xf>
    <xf numFmtId="42" fontId="69" fillId="36" borderId="28" xfId="0" applyNumberFormat="1" applyFont="1" applyFill="1" applyBorder="1" applyAlignment="1">
      <alignment horizontal="center" vertical="center"/>
    </xf>
    <xf numFmtId="0" fontId="69" fillId="36" borderId="28" xfId="0" applyFont="1" applyFill="1" applyBorder="1" applyAlignment="1">
      <alignment horizontal="left" vertical="center" wrapText="1"/>
    </xf>
    <xf numFmtId="0" fontId="69" fillId="36" borderId="28" xfId="626" applyFont="1" applyFill="1" applyBorder="1" applyAlignment="1">
      <alignment horizontal="center" vertical="center"/>
      <protection/>
    </xf>
    <xf numFmtId="173" fontId="69" fillId="36" borderId="28" xfId="185" applyNumberFormat="1" applyFont="1" applyFill="1" applyBorder="1" applyAlignment="1">
      <alignment horizontal="center" vertical="center" wrapText="1" readingOrder="1"/>
    </xf>
    <xf numFmtId="181" fontId="69" fillId="36" borderId="28" xfId="185" applyNumberFormat="1" applyFont="1" applyFill="1" applyBorder="1" applyAlignment="1">
      <alignment horizontal="center" vertical="center" wrapText="1" readingOrder="1"/>
    </xf>
    <xf numFmtId="181" fontId="4" fillId="0" borderId="28" xfId="185" applyNumberFormat="1" applyFont="1" applyBorder="1" applyAlignment="1">
      <alignment horizontal="right" vertical="center" wrapText="1" readingOrder="1"/>
    </xf>
    <xf numFmtId="181" fontId="69" fillId="36" borderId="28" xfId="185" applyNumberFormat="1" applyFont="1" applyFill="1" applyBorder="1" applyAlignment="1">
      <alignment horizontal="right" vertical="center" wrapText="1" readingOrder="1"/>
    </xf>
    <xf numFmtId="181" fontId="73" fillId="0" borderId="0" xfId="185" applyNumberFormat="1" applyFont="1" applyAlignment="1">
      <alignment/>
    </xf>
    <xf numFmtId="10" fontId="3" fillId="39" borderId="28" xfId="629" applyNumberFormat="1" applyFont="1" applyFill="1" applyBorder="1" applyAlignment="1">
      <alignment horizontal="center" vertical="center" wrapText="1" readingOrder="1"/>
    </xf>
    <xf numFmtId="0" fontId="69" fillId="36" borderId="28" xfId="0" applyFont="1" applyFill="1" applyBorder="1" applyAlignment="1">
      <alignment horizontal="center" vertical="center" wrapText="1"/>
    </xf>
    <xf numFmtId="177" fontId="4" fillId="0" borderId="0" xfId="515" applyNumberFormat="1" applyFont="1" applyFill="1" applyAlignment="1">
      <alignment vertical="center"/>
    </xf>
    <xf numFmtId="177" fontId="4" fillId="0" borderId="0" xfId="515" applyNumberFormat="1" applyFont="1" applyFill="1" applyAlignment="1">
      <alignment horizontal="left" vertical="center"/>
    </xf>
    <xf numFmtId="10" fontId="4" fillId="0" borderId="45" xfId="629" applyNumberFormat="1" applyFont="1" applyFill="1" applyBorder="1" applyAlignment="1">
      <alignment horizontal="left" vertical="center" wrapText="1"/>
    </xf>
    <xf numFmtId="3" fontId="4" fillId="0" borderId="28" xfId="0" applyNumberFormat="1" applyFont="1" applyBorder="1" applyAlignment="1">
      <alignment horizontal="center" vertical="center"/>
    </xf>
    <xf numFmtId="0" fontId="4" fillId="0" borderId="28" xfId="626" applyFont="1" applyBorder="1" applyAlignment="1">
      <alignment horizontal="center" vertical="center" wrapText="1"/>
      <protection/>
    </xf>
    <xf numFmtId="42" fontId="4" fillId="0" borderId="28" xfId="0" applyNumberFormat="1" applyFont="1" applyBorder="1" applyAlignment="1">
      <alignment horizontal="center" vertical="center"/>
    </xf>
    <xf numFmtId="0" fontId="4" fillId="0" borderId="46" xfId="0" applyFont="1" applyBorder="1" applyAlignment="1">
      <alignment horizontal="left" vertical="center" wrapText="1"/>
    </xf>
    <xf numFmtId="177" fontId="4" fillId="0" borderId="27" xfId="515" applyNumberFormat="1" applyFont="1" applyFill="1" applyBorder="1" applyAlignment="1">
      <alignment horizontal="left" vertical="center" wrapText="1"/>
    </xf>
    <xf numFmtId="177" fontId="4" fillId="0" borderId="46" xfId="515" applyNumberFormat="1" applyFont="1" applyFill="1" applyBorder="1" applyAlignment="1">
      <alignment horizontal="left" vertical="center"/>
    </xf>
    <xf numFmtId="10" fontId="3" fillId="35" borderId="47" xfId="629" applyNumberFormat="1" applyFont="1" applyFill="1" applyBorder="1" applyAlignment="1">
      <alignment horizontal="justify" vertical="center" wrapText="1"/>
    </xf>
    <xf numFmtId="10" fontId="4" fillId="0" borderId="48" xfId="629" applyNumberFormat="1" applyFont="1" applyFill="1" applyBorder="1" applyAlignment="1">
      <alignment horizontal="justify" vertical="center" wrapText="1"/>
    </xf>
    <xf numFmtId="10" fontId="3" fillId="35" borderId="48" xfId="629" applyNumberFormat="1" applyFont="1" applyFill="1" applyBorder="1" applyAlignment="1">
      <alignment horizontal="justify" vertical="center" wrapText="1"/>
    </xf>
    <xf numFmtId="10" fontId="3" fillId="33" borderId="48" xfId="629" applyNumberFormat="1" applyFont="1" applyFill="1" applyBorder="1" applyAlignment="1">
      <alignment horizontal="justify" vertical="center"/>
    </xf>
    <xf numFmtId="10" fontId="4" fillId="0" borderId="49" xfId="629" applyNumberFormat="1" applyFont="1" applyFill="1" applyBorder="1" applyAlignment="1">
      <alignment horizontal="justify" vertical="center" wrapText="1"/>
    </xf>
    <xf numFmtId="10" fontId="3" fillId="35" borderId="50" xfId="629" applyNumberFormat="1" applyFont="1" applyFill="1" applyBorder="1" applyAlignment="1">
      <alignment horizontal="justify" vertical="center" wrapText="1"/>
    </xf>
    <xf numFmtId="10" fontId="7" fillId="0" borderId="0" xfId="629" applyNumberFormat="1" applyFont="1" applyFill="1" applyAlignment="1">
      <alignment vertical="center"/>
    </xf>
    <xf numFmtId="183" fontId="7" fillId="0" borderId="0" xfId="185" applyNumberFormat="1" applyFont="1" applyFill="1" applyAlignment="1">
      <alignment vertical="center"/>
    </xf>
    <xf numFmtId="0" fontId="74" fillId="0" borderId="0" xfId="0" applyFont="1" applyAlignment="1">
      <alignment/>
    </xf>
    <xf numFmtId="209" fontId="8" fillId="0" borderId="0" xfId="0" applyNumberFormat="1" applyFont="1" applyAlignment="1">
      <alignment/>
    </xf>
    <xf numFmtId="0" fontId="8" fillId="0" borderId="0" xfId="0" applyFont="1" applyAlignment="1">
      <alignment/>
    </xf>
    <xf numFmtId="183" fontId="8" fillId="0" borderId="0" xfId="185" applyNumberFormat="1" applyFont="1" applyAlignment="1">
      <alignment/>
    </xf>
    <xf numFmtId="183" fontId="8" fillId="0" borderId="0" xfId="0" applyNumberFormat="1" applyFont="1" applyAlignment="1">
      <alignment/>
    </xf>
    <xf numFmtId="0" fontId="8" fillId="0" borderId="0" xfId="0" applyFont="1" applyAlignment="1">
      <alignment horizontal="center"/>
    </xf>
    <xf numFmtId="165" fontId="8" fillId="0" borderId="0" xfId="0" applyNumberFormat="1" applyFont="1" applyAlignment="1">
      <alignment horizontal="center"/>
    </xf>
    <xf numFmtId="183" fontId="7" fillId="0" borderId="0" xfId="185" applyNumberFormat="1" applyFont="1" applyAlignment="1">
      <alignment vertical="center"/>
    </xf>
    <xf numFmtId="183" fontId="74" fillId="0" borderId="0" xfId="0" applyNumberFormat="1" applyFont="1" applyAlignment="1">
      <alignment/>
    </xf>
    <xf numFmtId="173" fontId="69" fillId="36" borderId="28" xfId="185" applyNumberFormat="1" applyFont="1" applyFill="1" applyBorder="1" applyAlignment="1">
      <alignment horizontal="right" vertical="center" wrapText="1" readingOrder="1"/>
    </xf>
    <xf numFmtId="165" fontId="8" fillId="0" borderId="0" xfId="0" applyNumberFormat="1" applyFont="1" applyAlignment="1">
      <alignment/>
    </xf>
    <xf numFmtId="165" fontId="75" fillId="0" borderId="0" xfId="0" applyNumberFormat="1" applyFont="1" applyAlignment="1">
      <alignment/>
    </xf>
    <xf numFmtId="0" fontId="75" fillId="0" borderId="0" xfId="0" applyFont="1" applyAlignment="1">
      <alignment/>
    </xf>
    <xf numFmtId="183" fontId="75" fillId="0" borderId="0" xfId="185" applyNumberFormat="1" applyFont="1" applyAlignment="1">
      <alignment/>
    </xf>
    <xf numFmtId="41" fontId="8" fillId="0" borderId="0" xfId="0" applyNumberFormat="1" applyFont="1" applyAlignment="1">
      <alignment/>
    </xf>
    <xf numFmtId="183" fontId="8" fillId="0" borderId="0" xfId="629" applyNumberFormat="1" applyFont="1" applyAlignment="1">
      <alignment/>
    </xf>
    <xf numFmtId="183" fontId="75" fillId="0" borderId="0" xfId="0" applyNumberFormat="1" applyFont="1" applyAlignment="1">
      <alignment/>
    </xf>
    <xf numFmtId="183" fontId="76" fillId="0" borderId="0" xfId="185" applyNumberFormat="1" applyFont="1" applyAlignment="1">
      <alignment vertical="center"/>
    </xf>
    <xf numFmtId="44" fontId="8" fillId="0" borderId="0" xfId="532" applyFont="1" applyAlignment="1">
      <alignment/>
    </xf>
    <xf numFmtId="9" fontId="8" fillId="0" borderId="0" xfId="629" applyFont="1" applyAlignment="1">
      <alignment/>
    </xf>
    <xf numFmtId="44" fontId="75" fillId="0" borderId="0" xfId="0" applyNumberFormat="1" applyFont="1" applyAlignment="1">
      <alignment/>
    </xf>
    <xf numFmtId="181" fontId="4" fillId="0" borderId="28" xfId="185" applyNumberFormat="1" applyFont="1" applyFill="1" applyBorder="1" applyAlignment="1">
      <alignment horizontal="right" vertical="center" wrapText="1" readingOrder="1"/>
    </xf>
    <xf numFmtId="165" fontId="9" fillId="0" borderId="0" xfId="0" applyNumberFormat="1" applyFont="1" applyAlignment="1">
      <alignment horizontal="right" vertical="center" wrapText="1" readingOrder="1"/>
    </xf>
    <xf numFmtId="9" fontId="9" fillId="0" borderId="0" xfId="629" applyFont="1" applyFill="1" applyBorder="1" applyAlignment="1">
      <alignment horizontal="right" vertical="center" wrapText="1" readingOrder="1"/>
    </xf>
    <xf numFmtId="165" fontId="77" fillId="0" borderId="0" xfId="0" applyNumberFormat="1" applyFont="1" applyAlignment="1">
      <alignment horizontal="right" vertical="center" wrapText="1" readingOrder="1"/>
    </xf>
    <xf numFmtId="9" fontId="7" fillId="0" borderId="0" xfId="629" applyFont="1" applyFill="1" applyBorder="1" applyAlignment="1">
      <alignment vertical="center"/>
    </xf>
    <xf numFmtId="181" fontId="3" fillId="39" borderId="28" xfId="185" applyNumberFormat="1" applyFont="1" applyFill="1" applyBorder="1" applyAlignment="1">
      <alignment horizontal="right" vertical="center" wrapText="1" readingOrder="1"/>
    </xf>
    <xf numFmtId="165" fontId="10" fillId="0" borderId="0" xfId="629" applyNumberFormat="1" applyFont="1" applyBorder="1" applyAlignment="1">
      <alignment horizontal="center" vertical="center" wrapText="1"/>
    </xf>
    <xf numFmtId="174" fontId="10" fillId="0" borderId="0" xfId="629" applyNumberFormat="1" applyFont="1" applyBorder="1" applyAlignment="1">
      <alignment horizontal="center" vertical="center" wrapText="1"/>
    </xf>
    <xf numFmtId="0" fontId="78" fillId="0" borderId="0" xfId="0" applyFont="1" applyAlignment="1">
      <alignment/>
    </xf>
    <xf numFmtId="181" fontId="79" fillId="0" borderId="0" xfId="185" applyNumberFormat="1" applyFont="1" applyFill="1" applyAlignment="1">
      <alignment horizontal="right" vertical="center" wrapText="1" readingOrder="1"/>
    </xf>
    <xf numFmtId="181" fontId="80" fillId="0" borderId="0" xfId="185" applyNumberFormat="1" applyFont="1" applyFill="1" applyAlignment="1">
      <alignment horizontal="right"/>
    </xf>
    <xf numFmtId="165" fontId="80" fillId="0" borderId="0" xfId="0" applyNumberFormat="1" applyFont="1" applyAlignment="1">
      <alignment horizontal="center"/>
    </xf>
    <xf numFmtId="183" fontId="10" fillId="0" borderId="0" xfId="185" applyNumberFormat="1" applyFont="1" applyBorder="1" applyAlignment="1">
      <alignment vertical="center"/>
    </xf>
    <xf numFmtId="181" fontId="3" fillId="0" borderId="51" xfId="49" applyNumberFormat="1" applyFont="1" applyFill="1" applyBorder="1" applyAlignment="1">
      <alignment horizontal="center" vertical="center" wrapText="1"/>
    </xf>
    <xf numFmtId="0" fontId="4" fillId="0" borderId="0" xfId="617" applyFont="1" applyFill="1" applyBorder="1">
      <alignment/>
      <protection/>
    </xf>
    <xf numFmtId="49" fontId="4" fillId="0" borderId="12" xfId="617" applyNumberFormat="1" applyFont="1" applyFill="1" applyBorder="1" applyAlignment="1">
      <alignment horizontal="left" indent="2"/>
      <protection/>
    </xf>
    <xf numFmtId="181" fontId="3" fillId="0" borderId="52" xfId="49" applyNumberFormat="1" applyFont="1" applyFill="1" applyBorder="1" applyAlignment="1">
      <alignment horizontal="center" vertical="center" wrapText="1"/>
    </xf>
    <xf numFmtId="181" fontId="3" fillId="0" borderId="19" xfId="49" applyNumberFormat="1" applyFont="1" applyFill="1" applyBorder="1" applyAlignment="1">
      <alignment horizontal="center" vertical="center" wrapText="1"/>
    </xf>
    <xf numFmtId="10" fontId="3" fillId="33" borderId="53" xfId="629" applyNumberFormat="1" applyFont="1" applyFill="1" applyBorder="1" applyAlignment="1">
      <alignment horizontal="center"/>
    </xf>
    <xf numFmtId="10" fontId="4" fillId="0" borderId="24" xfId="629" applyNumberFormat="1" applyFont="1" applyBorder="1" applyAlignment="1">
      <alignment horizontal="center"/>
    </xf>
    <xf numFmtId="10" fontId="3" fillId="33" borderId="26" xfId="629" applyNumberFormat="1" applyFont="1" applyFill="1" applyBorder="1" applyAlignment="1">
      <alignment horizontal="center"/>
    </xf>
    <xf numFmtId="10" fontId="4" fillId="0" borderId="54" xfId="629" applyNumberFormat="1" applyFont="1" applyBorder="1" applyAlignment="1">
      <alignment horizontal="center"/>
    </xf>
    <xf numFmtId="10" fontId="4" fillId="0" borderId="25" xfId="629" applyNumberFormat="1" applyFont="1" applyBorder="1" applyAlignment="1">
      <alignment horizontal="center"/>
    </xf>
    <xf numFmtId="10" fontId="4" fillId="34" borderId="25" xfId="629" applyNumberFormat="1" applyFont="1" applyFill="1" applyBorder="1" applyAlignment="1">
      <alignment horizontal="center"/>
    </xf>
    <xf numFmtId="10" fontId="3" fillId="33" borderId="25" xfId="629" applyNumberFormat="1" applyFont="1" applyFill="1" applyBorder="1" applyAlignment="1">
      <alignment horizontal="center"/>
    </xf>
    <xf numFmtId="10" fontId="4" fillId="0" borderId="25" xfId="629" applyNumberFormat="1" applyFont="1" applyFill="1" applyBorder="1" applyAlignment="1">
      <alignment horizontal="center"/>
    </xf>
    <xf numFmtId="10" fontId="3" fillId="33" borderId="24" xfId="629" applyNumberFormat="1" applyFont="1" applyFill="1" applyBorder="1" applyAlignment="1">
      <alignment horizontal="center"/>
    </xf>
    <xf numFmtId="10" fontId="3" fillId="33" borderId="51" xfId="629" applyNumberFormat="1" applyFont="1" applyFill="1" applyBorder="1" applyAlignment="1">
      <alignment/>
    </xf>
    <xf numFmtId="10" fontId="3" fillId="33" borderId="25" xfId="629" applyNumberFormat="1" applyFont="1" applyFill="1" applyBorder="1" applyAlignment="1">
      <alignment/>
    </xf>
    <xf numFmtId="10" fontId="3" fillId="0" borderId="51" xfId="629" applyNumberFormat="1" applyFont="1" applyFill="1" applyBorder="1" applyAlignment="1">
      <alignment horizontal="center" vertical="center" wrapText="1"/>
    </xf>
    <xf numFmtId="10" fontId="3" fillId="0" borderId="53" xfId="629" applyNumberFormat="1" applyFont="1" applyFill="1" applyBorder="1" applyAlignment="1">
      <alignment horizontal="center" vertical="center"/>
    </xf>
    <xf numFmtId="181" fontId="3" fillId="0" borderId="55" xfId="49" applyNumberFormat="1" applyFont="1" applyFill="1" applyBorder="1" applyAlignment="1">
      <alignment horizontal="center" vertical="center"/>
    </xf>
    <xf numFmtId="181" fontId="3" fillId="0" borderId="53" xfId="49" applyNumberFormat="1" applyFont="1" applyFill="1" applyBorder="1" applyAlignment="1">
      <alignment horizontal="center" vertical="center"/>
    </xf>
    <xf numFmtId="181" fontId="3" fillId="0" borderId="56" xfId="49" applyNumberFormat="1" applyFont="1" applyFill="1" applyBorder="1" applyAlignment="1">
      <alignment horizontal="center" vertical="center" wrapText="1"/>
    </xf>
    <xf numFmtId="10" fontId="4" fillId="0" borderId="0" xfId="629" applyNumberFormat="1" applyFont="1" applyFill="1" applyAlignment="1">
      <alignment/>
    </xf>
    <xf numFmtId="181" fontId="3" fillId="0" borderId="18" xfId="49" applyNumberFormat="1" applyFont="1" applyFill="1" applyBorder="1" applyAlignment="1">
      <alignment horizontal="center" vertical="center"/>
    </xf>
    <xf numFmtId="181" fontId="3" fillId="0" borderId="57" xfId="49" applyNumberFormat="1" applyFont="1" applyFill="1" applyBorder="1" applyAlignment="1">
      <alignment horizontal="center" vertical="center"/>
    </xf>
    <xf numFmtId="10" fontId="4" fillId="0" borderId="0" xfId="629" applyNumberFormat="1" applyFont="1" applyAlignment="1">
      <alignment/>
    </xf>
    <xf numFmtId="3" fontId="3" fillId="33" borderId="11" xfId="49" applyNumberFormat="1" applyFont="1" applyFill="1" applyBorder="1" applyAlignment="1">
      <alignment horizontal="right"/>
    </xf>
    <xf numFmtId="3" fontId="3" fillId="33" borderId="24" xfId="49" applyNumberFormat="1" applyFont="1" applyFill="1" applyBorder="1" applyAlignment="1">
      <alignment horizontal="right"/>
    </xf>
    <xf numFmtId="3" fontId="4" fillId="0" borderId="0" xfId="49" applyNumberFormat="1" applyFont="1" applyFill="1" applyAlignment="1">
      <alignment horizontal="right"/>
    </xf>
    <xf numFmtId="3" fontId="3" fillId="33" borderId="10" xfId="49" applyNumberFormat="1" applyFont="1" applyFill="1" applyBorder="1" applyAlignment="1">
      <alignment horizontal="right"/>
    </xf>
    <xf numFmtId="3" fontId="3" fillId="33" borderId="58" xfId="49" applyNumberFormat="1" applyFont="1" applyFill="1" applyBorder="1" applyAlignment="1">
      <alignment horizontal="right"/>
    </xf>
    <xf numFmtId="3" fontId="4" fillId="0" borderId="13" xfId="49" applyNumberFormat="1" applyFont="1" applyFill="1" applyBorder="1" applyAlignment="1">
      <alignment horizontal="right"/>
    </xf>
    <xf numFmtId="3" fontId="4" fillId="0" borderId="25" xfId="49" applyNumberFormat="1" applyFont="1" applyFill="1" applyBorder="1" applyAlignment="1">
      <alignment horizontal="right"/>
    </xf>
    <xf numFmtId="3" fontId="4" fillId="0" borderId="12" xfId="49" applyNumberFormat="1" applyFont="1" applyFill="1" applyBorder="1" applyAlignment="1">
      <alignment horizontal="right"/>
    </xf>
    <xf numFmtId="3" fontId="4" fillId="0" borderId="59" xfId="49" applyNumberFormat="1" applyFont="1" applyFill="1" applyBorder="1" applyAlignment="1">
      <alignment horizontal="right"/>
    </xf>
    <xf numFmtId="3" fontId="3" fillId="33" borderId="13" xfId="49" applyNumberFormat="1" applyFont="1" applyFill="1" applyBorder="1" applyAlignment="1">
      <alignment horizontal="right"/>
    </xf>
    <xf numFmtId="3" fontId="3" fillId="33" borderId="25" xfId="49" applyNumberFormat="1" applyFont="1" applyFill="1" applyBorder="1" applyAlignment="1">
      <alignment horizontal="right"/>
    </xf>
    <xf numFmtId="3" fontId="3" fillId="33" borderId="12" xfId="49" applyNumberFormat="1" applyFont="1" applyFill="1" applyBorder="1" applyAlignment="1">
      <alignment horizontal="right"/>
    </xf>
    <xf numFmtId="3" fontId="3" fillId="33" borderId="59" xfId="49" applyNumberFormat="1" applyFont="1" applyFill="1" applyBorder="1" applyAlignment="1">
      <alignment horizontal="right"/>
    </xf>
    <xf numFmtId="3" fontId="4" fillId="34" borderId="12" xfId="49" applyNumberFormat="1" applyFont="1" applyFill="1" applyBorder="1" applyAlignment="1">
      <alignment horizontal="right"/>
    </xf>
    <xf numFmtId="3" fontId="4" fillId="34" borderId="13" xfId="49" applyNumberFormat="1" applyFont="1" applyFill="1" applyBorder="1" applyAlignment="1">
      <alignment horizontal="right"/>
    </xf>
    <xf numFmtId="3" fontId="4" fillId="34" borderId="59" xfId="49" applyNumberFormat="1" applyFont="1" applyFill="1" applyBorder="1" applyAlignment="1">
      <alignment horizontal="right"/>
    </xf>
    <xf numFmtId="3" fontId="4" fillId="0" borderId="13" xfId="49" applyNumberFormat="1" applyFont="1" applyBorder="1" applyAlignment="1">
      <alignment horizontal="right"/>
    </xf>
    <xf numFmtId="3" fontId="4" fillId="0" borderId="25" xfId="49" applyNumberFormat="1" applyFont="1" applyBorder="1" applyAlignment="1">
      <alignment horizontal="right"/>
    </xf>
    <xf numFmtId="3" fontId="4" fillId="0" borderId="12" xfId="49" applyNumberFormat="1" applyFont="1" applyBorder="1" applyAlignment="1">
      <alignment horizontal="right"/>
    </xf>
    <xf numFmtId="3" fontId="4" fillId="0" borderId="59" xfId="49" applyNumberFormat="1" applyFont="1" applyBorder="1" applyAlignment="1">
      <alignment horizontal="right"/>
    </xf>
    <xf numFmtId="3" fontId="4" fillId="0" borderId="15" xfId="49" applyNumberFormat="1" applyFont="1" applyBorder="1" applyAlignment="1">
      <alignment horizontal="right"/>
    </xf>
    <xf numFmtId="3" fontId="4" fillId="0" borderId="54" xfId="49" applyNumberFormat="1" applyFont="1" applyBorder="1" applyAlignment="1">
      <alignment horizontal="right"/>
    </xf>
    <xf numFmtId="3" fontId="4" fillId="0" borderId="14" xfId="49" applyNumberFormat="1" applyFont="1" applyBorder="1" applyAlignment="1">
      <alignment horizontal="right"/>
    </xf>
    <xf numFmtId="3" fontId="4" fillId="0" borderId="60" xfId="49" applyNumberFormat="1" applyFont="1" applyBorder="1" applyAlignment="1">
      <alignment horizontal="right"/>
    </xf>
    <xf numFmtId="3" fontId="3" fillId="33" borderId="17" xfId="49" applyNumberFormat="1" applyFont="1" applyFill="1" applyBorder="1" applyAlignment="1">
      <alignment horizontal="right"/>
    </xf>
    <xf numFmtId="3" fontId="3" fillId="33" borderId="26" xfId="49" applyNumberFormat="1" applyFont="1" applyFill="1" applyBorder="1" applyAlignment="1">
      <alignment horizontal="right"/>
    </xf>
    <xf numFmtId="3" fontId="3" fillId="33" borderId="16" xfId="49" applyNumberFormat="1" applyFont="1" applyFill="1" applyBorder="1" applyAlignment="1">
      <alignment horizontal="right"/>
    </xf>
    <xf numFmtId="3" fontId="3" fillId="33" borderId="61" xfId="49" applyNumberFormat="1" applyFont="1" applyFill="1" applyBorder="1" applyAlignment="1">
      <alignment horizontal="right"/>
    </xf>
    <xf numFmtId="3" fontId="4" fillId="0" borderId="11" xfId="49" applyNumberFormat="1" applyFont="1" applyBorder="1" applyAlignment="1">
      <alignment horizontal="right"/>
    </xf>
    <xf numFmtId="3" fontId="4" fillId="0" borderId="24" xfId="49" applyNumberFormat="1" applyFont="1" applyBorder="1" applyAlignment="1">
      <alignment horizontal="right"/>
    </xf>
    <xf numFmtId="3" fontId="4" fillId="0" borderId="10" xfId="49" applyNumberFormat="1" applyFont="1" applyBorder="1" applyAlignment="1">
      <alignment horizontal="right"/>
    </xf>
    <xf numFmtId="3" fontId="4" fillId="0" borderId="58" xfId="49" applyNumberFormat="1" applyFont="1" applyBorder="1" applyAlignment="1">
      <alignment horizontal="right"/>
    </xf>
    <xf numFmtId="3" fontId="3" fillId="33" borderId="55" xfId="49" applyNumberFormat="1" applyFont="1" applyFill="1" applyBorder="1" applyAlignment="1">
      <alignment horizontal="right"/>
    </xf>
    <xf numFmtId="3" fontId="3" fillId="33" borderId="53" xfId="49" applyNumberFormat="1" applyFont="1" applyFill="1" applyBorder="1" applyAlignment="1">
      <alignment horizontal="right"/>
    </xf>
    <xf numFmtId="3" fontId="3" fillId="33" borderId="18" xfId="49" applyNumberFormat="1" applyFont="1" applyFill="1" applyBorder="1" applyAlignment="1">
      <alignment horizontal="right"/>
    </xf>
    <xf numFmtId="3" fontId="3" fillId="33" borderId="57" xfId="49" applyNumberFormat="1" applyFont="1" applyFill="1" applyBorder="1" applyAlignment="1">
      <alignment horizontal="right"/>
    </xf>
    <xf numFmtId="3" fontId="3" fillId="33" borderId="56" xfId="49" applyNumberFormat="1" applyFont="1" applyFill="1" applyBorder="1" applyAlignment="1">
      <alignment horizontal="right"/>
    </xf>
    <xf numFmtId="3" fontId="3" fillId="33" borderId="51" xfId="49" applyNumberFormat="1" applyFont="1" applyFill="1" applyBorder="1" applyAlignment="1">
      <alignment horizontal="right"/>
    </xf>
    <xf numFmtId="3" fontId="3" fillId="33" borderId="19" xfId="49" applyNumberFormat="1" applyFont="1" applyFill="1" applyBorder="1" applyAlignment="1">
      <alignment horizontal="right"/>
    </xf>
    <xf numFmtId="3" fontId="3" fillId="33" borderId="52" xfId="49" applyNumberFormat="1" applyFont="1" applyFill="1" applyBorder="1" applyAlignment="1">
      <alignment horizontal="right"/>
    </xf>
    <xf numFmtId="3" fontId="4" fillId="0" borderId="0" xfId="617" applyNumberFormat="1" applyFont="1">
      <alignment/>
      <protection/>
    </xf>
    <xf numFmtId="3" fontId="4" fillId="0" borderId="0" xfId="617" applyNumberFormat="1" applyFont="1" applyFill="1">
      <alignment/>
      <protection/>
    </xf>
    <xf numFmtId="10" fontId="3" fillId="0" borderId="0" xfId="629" applyNumberFormat="1" applyFont="1" applyFill="1" applyAlignment="1">
      <alignment horizontal="right"/>
    </xf>
    <xf numFmtId="0" fontId="3" fillId="0" borderId="0" xfId="617" applyFont="1" applyAlignment="1">
      <alignment horizontal="right"/>
      <protection/>
    </xf>
    <xf numFmtId="0" fontId="3" fillId="0" borderId="0" xfId="617" applyFont="1" applyAlignment="1">
      <alignment horizontal="center" vertical="center"/>
      <protection/>
    </xf>
    <xf numFmtId="0" fontId="3" fillId="0" borderId="0" xfId="617" applyFont="1" applyBorder="1" applyAlignment="1">
      <alignment horizontal="center"/>
      <protection/>
    </xf>
    <xf numFmtId="173" fontId="3" fillId="0" borderId="0" xfId="49" applyFont="1" applyBorder="1" applyAlignment="1">
      <alignment horizontal="center"/>
    </xf>
    <xf numFmtId="0" fontId="3" fillId="0" borderId="62" xfId="617" applyFont="1" applyFill="1" applyBorder="1" applyAlignment="1">
      <alignment horizontal="center" vertical="center"/>
      <protection/>
    </xf>
    <xf numFmtId="0" fontId="3" fillId="0" borderId="63" xfId="617" applyFont="1" applyFill="1" applyBorder="1" applyAlignment="1">
      <alignment horizontal="center" vertical="center"/>
      <protection/>
    </xf>
    <xf numFmtId="181" fontId="3" fillId="0" borderId="64" xfId="49" applyNumberFormat="1" applyFont="1" applyFill="1" applyBorder="1" applyAlignment="1">
      <alignment horizontal="center" vertical="center"/>
    </xf>
    <xf numFmtId="181" fontId="3" fillId="0" borderId="65" xfId="49" applyNumberFormat="1" applyFont="1" applyFill="1" applyBorder="1" applyAlignment="1">
      <alignment horizontal="center"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177" fontId="3" fillId="0" borderId="0" xfId="515" applyNumberFormat="1" applyFont="1" applyFill="1" applyAlignment="1">
      <alignment horizontal="center" vertical="center" wrapText="1"/>
    </xf>
    <xf numFmtId="0" fontId="68" fillId="0" borderId="0" xfId="620" applyFont="1" applyAlignment="1">
      <alignment horizontal="center" vertical="center" wrapText="1"/>
      <protection/>
    </xf>
  </cellXfs>
  <cellStyles count="63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2 2" xfId="52"/>
    <cellStyle name="Millares [0] 2 2 2" xfId="53"/>
    <cellStyle name="Millares [0] 2 2 2 2" xfId="54"/>
    <cellStyle name="Millares [0] 2 2 2 3" xfId="55"/>
    <cellStyle name="Millares [0] 2 2 3" xfId="56"/>
    <cellStyle name="Millares [0] 2 2 4" xfId="57"/>
    <cellStyle name="Millares [0] 2 3" xfId="58"/>
    <cellStyle name="Millares [0] 2 3 2" xfId="59"/>
    <cellStyle name="Millares [0] 2 3 3" xfId="60"/>
    <cellStyle name="Millares [0] 2 4" xfId="61"/>
    <cellStyle name="Millares [0] 2 5" xfId="62"/>
    <cellStyle name="Millares [0] 3" xfId="63"/>
    <cellStyle name="Millares [0] 3 2" xfId="64"/>
    <cellStyle name="Millares [0] 3 2 2" xfId="65"/>
    <cellStyle name="Millares [0] 3 2 3" xfId="66"/>
    <cellStyle name="Millares [0] 3 3" xfId="67"/>
    <cellStyle name="Millares [0] 3 4" xfId="68"/>
    <cellStyle name="Millares [0] 4" xfId="69"/>
    <cellStyle name="Millares [0] 4 2" xfId="70"/>
    <cellStyle name="Millares [0] 4 3" xfId="71"/>
    <cellStyle name="Millares [0] 5" xfId="72"/>
    <cellStyle name="Millares [0] 5 2" xfId="73"/>
    <cellStyle name="Millares [0] 5 3" xfId="74"/>
    <cellStyle name="Millares [0] 6" xfId="75"/>
    <cellStyle name="Millares [0] 6 2" xfId="76"/>
    <cellStyle name="Millares [0] 7" xfId="77"/>
    <cellStyle name="Millares [0] 8" xfId="78"/>
    <cellStyle name="Millares [0] 9" xfId="79"/>
    <cellStyle name="Millares 10" xfId="80"/>
    <cellStyle name="Millares 10 2" xfId="81"/>
    <cellStyle name="Millares 10 2 2" xfId="82"/>
    <cellStyle name="Millares 10 3" xfId="83"/>
    <cellStyle name="Millares 10 3 2" xfId="84"/>
    <cellStyle name="Millares 10 4" xfId="85"/>
    <cellStyle name="Millares 10 4 2" xfId="86"/>
    <cellStyle name="Millares 10 5" xfId="87"/>
    <cellStyle name="Millares 11" xfId="88"/>
    <cellStyle name="Millares 11 2" xfId="89"/>
    <cellStyle name="Millares 11 2 2" xfId="90"/>
    <cellStyle name="Millares 11 3" xfId="91"/>
    <cellStyle name="Millares 11 3 2" xfId="92"/>
    <cellStyle name="Millares 11 4" xfId="93"/>
    <cellStyle name="Millares 11 4 2" xfId="94"/>
    <cellStyle name="Millares 11 5" xfId="95"/>
    <cellStyle name="Millares 12" xfId="96"/>
    <cellStyle name="Millares 12 2" xfId="97"/>
    <cellStyle name="Millares 12 2 2" xfId="98"/>
    <cellStyle name="Millares 12 3" xfId="99"/>
    <cellStyle name="Millares 12 3 2" xfId="100"/>
    <cellStyle name="Millares 12 4" xfId="101"/>
    <cellStyle name="Millares 12 4 2" xfId="102"/>
    <cellStyle name="Millares 12 5" xfId="103"/>
    <cellStyle name="Millares 13" xfId="104"/>
    <cellStyle name="Millares 13 2" xfId="105"/>
    <cellStyle name="Millares 13 2 2" xfId="106"/>
    <cellStyle name="Millares 13 3" xfId="107"/>
    <cellStyle name="Millares 13 3 2" xfId="108"/>
    <cellStyle name="Millares 13 4" xfId="109"/>
    <cellStyle name="Millares 13 4 2" xfId="110"/>
    <cellStyle name="Millares 13 5" xfId="111"/>
    <cellStyle name="Millares 14" xfId="112"/>
    <cellStyle name="Millares 14 2" xfId="113"/>
    <cellStyle name="Millares 14 2 2" xfId="114"/>
    <cellStyle name="Millares 14 3" xfId="115"/>
    <cellStyle name="Millares 14 3 2" xfId="116"/>
    <cellStyle name="Millares 14 4" xfId="117"/>
    <cellStyle name="Millares 14 4 2" xfId="118"/>
    <cellStyle name="Millares 14 5" xfId="119"/>
    <cellStyle name="Millares 15" xfId="120"/>
    <cellStyle name="Millares 15 2" xfId="121"/>
    <cellStyle name="Millares 15 2 2" xfId="122"/>
    <cellStyle name="Millares 15 3" xfId="123"/>
    <cellStyle name="Millares 15 3 2" xfId="124"/>
    <cellStyle name="Millares 15 4" xfId="125"/>
    <cellStyle name="Millares 15 4 2" xfId="126"/>
    <cellStyle name="Millares 15 5" xfId="127"/>
    <cellStyle name="Millares 16" xfId="128"/>
    <cellStyle name="Millares 16 2" xfId="129"/>
    <cellStyle name="Millares 16 2 2" xfId="130"/>
    <cellStyle name="Millares 16 3" xfId="131"/>
    <cellStyle name="Millares 16 3 2" xfId="132"/>
    <cellStyle name="Millares 16 4" xfId="133"/>
    <cellStyle name="Millares 16 4 2" xfId="134"/>
    <cellStyle name="Millares 16 5" xfId="135"/>
    <cellStyle name="Millares 17" xfId="136"/>
    <cellStyle name="Millares 17 2" xfId="137"/>
    <cellStyle name="Millares 17 2 2" xfId="138"/>
    <cellStyle name="Millares 17 3" xfId="139"/>
    <cellStyle name="Millares 17 3 2" xfId="140"/>
    <cellStyle name="Millares 17 4" xfId="141"/>
    <cellStyle name="Millares 17 4 2" xfId="142"/>
    <cellStyle name="Millares 17 5" xfId="143"/>
    <cellStyle name="Millares 18" xfId="144"/>
    <cellStyle name="Millares 18 2" xfId="145"/>
    <cellStyle name="Millares 18 2 2" xfId="146"/>
    <cellStyle name="Millares 18 3" xfId="147"/>
    <cellStyle name="Millares 18 3 2" xfId="148"/>
    <cellStyle name="Millares 18 4" xfId="149"/>
    <cellStyle name="Millares 18 4 2" xfId="150"/>
    <cellStyle name="Millares 18 5" xfId="151"/>
    <cellStyle name="Millares 19" xfId="152"/>
    <cellStyle name="Millares 19 2" xfId="153"/>
    <cellStyle name="Millares 19 2 2" xfId="154"/>
    <cellStyle name="Millares 19 3" xfId="155"/>
    <cellStyle name="Millares 19 3 2" xfId="156"/>
    <cellStyle name="Millares 19 4" xfId="157"/>
    <cellStyle name="Millares 19 4 2" xfId="158"/>
    <cellStyle name="Millares 19 5" xfId="159"/>
    <cellStyle name="Millares 2" xfId="160"/>
    <cellStyle name="Millares 2 2" xfId="161"/>
    <cellStyle name="Millares 2 2 2" xfId="162"/>
    <cellStyle name="Millares 2 2 2 2" xfId="163"/>
    <cellStyle name="Millares 2 2 2 2 2" xfId="164"/>
    <cellStyle name="Millares 2 2 2 3" xfId="165"/>
    <cellStyle name="Millares 2 2 2 3 2" xfId="166"/>
    <cellStyle name="Millares 2 2 2 4" xfId="167"/>
    <cellStyle name="Millares 2 2 2 4 2" xfId="168"/>
    <cellStyle name="Millares 2 2 2 5" xfId="169"/>
    <cellStyle name="Millares 2 2 3" xfId="170"/>
    <cellStyle name="Millares 2 2 4" xfId="171"/>
    <cellStyle name="Millares 2 2 4 2" xfId="172"/>
    <cellStyle name="Millares 2 2 4 3" xfId="173"/>
    <cellStyle name="Millares 2 2 5" xfId="174"/>
    <cellStyle name="Millares 2 2 5 2" xfId="175"/>
    <cellStyle name="Millares 2 2 5 3" xfId="176"/>
    <cellStyle name="Millares 2 3" xfId="177"/>
    <cellStyle name="Millares 2 3 2" xfId="178"/>
    <cellStyle name="Millares 2 3 2 2" xfId="179"/>
    <cellStyle name="Millares 2 3 3" xfId="180"/>
    <cellStyle name="Millares 2 3 3 2" xfId="181"/>
    <cellStyle name="Millares 2 3 4" xfId="182"/>
    <cellStyle name="Millares 2 3 4 2" xfId="183"/>
    <cellStyle name="Millares 2 3 5" xfId="184"/>
    <cellStyle name="Millares 2 4" xfId="185"/>
    <cellStyle name="Millares 2 4 2" xfId="186"/>
    <cellStyle name="Millares 2 4 2 2" xfId="187"/>
    <cellStyle name="Millares 2 4 2 3" xfId="188"/>
    <cellStyle name="Millares 2 4 3" xfId="189"/>
    <cellStyle name="Millares 2 4 3 2" xfId="190"/>
    <cellStyle name="Millares 2 4 3 3" xfId="191"/>
    <cellStyle name="Millares 2 4 4" xfId="192"/>
    <cellStyle name="Millares 2 4 5" xfId="193"/>
    <cellStyle name="Millares 2 5" xfId="194"/>
    <cellStyle name="Millares 20" xfId="195"/>
    <cellStyle name="Millares 20 2" xfId="196"/>
    <cellStyle name="Millares 20 2 2" xfId="197"/>
    <cellStyle name="Millares 20 3" xfId="198"/>
    <cellStyle name="Millares 20 3 2" xfId="199"/>
    <cellStyle name="Millares 20 4" xfId="200"/>
    <cellStyle name="Millares 20 4 2" xfId="201"/>
    <cellStyle name="Millares 20 5" xfId="202"/>
    <cellStyle name="Millares 21" xfId="203"/>
    <cellStyle name="Millares 21 2" xfId="204"/>
    <cellStyle name="Millares 21 2 2" xfId="205"/>
    <cellStyle name="Millares 21 3" xfId="206"/>
    <cellStyle name="Millares 21 3 2" xfId="207"/>
    <cellStyle name="Millares 21 4" xfId="208"/>
    <cellStyle name="Millares 21 4 2" xfId="209"/>
    <cellStyle name="Millares 21 5" xfId="210"/>
    <cellStyle name="Millares 22" xfId="211"/>
    <cellStyle name="Millares 22 2" xfId="212"/>
    <cellStyle name="Millares 22 2 2" xfId="213"/>
    <cellStyle name="Millares 22 3" xfId="214"/>
    <cellStyle name="Millares 22 3 2" xfId="215"/>
    <cellStyle name="Millares 22 4" xfId="216"/>
    <cellStyle name="Millares 22 4 2" xfId="217"/>
    <cellStyle name="Millares 22 5" xfId="218"/>
    <cellStyle name="Millares 23" xfId="219"/>
    <cellStyle name="Millares 23 2" xfId="220"/>
    <cellStyle name="Millares 23 2 2" xfId="221"/>
    <cellStyle name="Millares 23 3" xfId="222"/>
    <cellStyle name="Millares 23 3 2" xfId="223"/>
    <cellStyle name="Millares 23 4" xfId="224"/>
    <cellStyle name="Millares 23 4 2" xfId="225"/>
    <cellStyle name="Millares 23 5" xfId="226"/>
    <cellStyle name="Millares 24" xfId="227"/>
    <cellStyle name="Millares 24 2" xfId="228"/>
    <cellStyle name="Millares 25" xfId="229"/>
    <cellStyle name="Millares 25 2" xfId="230"/>
    <cellStyle name="Millares 26" xfId="231"/>
    <cellStyle name="Millares 26 2" xfId="232"/>
    <cellStyle name="Millares 27" xfId="233"/>
    <cellStyle name="Millares 27 2" xfId="234"/>
    <cellStyle name="Millares 28" xfId="235"/>
    <cellStyle name="Millares 28 2" xfId="236"/>
    <cellStyle name="Millares 29" xfId="237"/>
    <cellStyle name="Millares 29 2" xfId="238"/>
    <cellStyle name="Millares 3" xfId="239"/>
    <cellStyle name="Millares 3 2" xfId="240"/>
    <cellStyle name="Millares 30" xfId="241"/>
    <cellStyle name="Millares 30 2" xfId="242"/>
    <cellStyle name="Millares 31" xfId="243"/>
    <cellStyle name="Millares 31 2" xfId="244"/>
    <cellStyle name="Millares 32" xfId="245"/>
    <cellStyle name="Millares 32 2" xfId="246"/>
    <cellStyle name="Millares 33" xfId="247"/>
    <cellStyle name="Millares 33 2" xfId="248"/>
    <cellStyle name="Millares 34" xfId="249"/>
    <cellStyle name="Millares 34 2" xfId="250"/>
    <cellStyle name="Millares 35" xfId="251"/>
    <cellStyle name="Millares 35 2" xfId="252"/>
    <cellStyle name="Millares 36" xfId="253"/>
    <cellStyle name="Millares 36 2" xfId="254"/>
    <cellStyle name="Millares 37" xfId="255"/>
    <cellStyle name="Millares 37 2" xfId="256"/>
    <cellStyle name="Millares 38" xfId="257"/>
    <cellStyle name="Millares 38 2" xfId="258"/>
    <cellStyle name="Millares 38 2 2" xfId="259"/>
    <cellStyle name="Millares 38 2 3" xfId="260"/>
    <cellStyle name="Millares 38 3" xfId="261"/>
    <cellStyle name="Millares 38 3 2" xfId="262"/>
    <cellStyle name="Millares 38 3 3" xfId="263"/>
    <cellStyle name="Millares 38 4" xfId="264"/>
    <cellStyle name="Millares 38 5" xfId="265"/>
    <cellStyle name="Millares 39" xfId="266"/>
    <cellStyle name="Millares 4" xfId="267"/>
    <cellStyle name="Millares 4 2" xfId="268"/>
    <cellStyle name="Millares 4 2 2" xfId="269"/>
    <cellStyle name="Millares 4 2 2 2" xfId="270"/>
    <cellStyle name="Millares 4 2 2 2 2" xfId="271"/>
    <cellStyle name="Millares 4 2 2 3" xfId="272"/>
    <cellStyle name="Millares 4 2 2 3 2" xfId="273"/>
    <cellStyle name="Millares 4 2 2 4" xfId="274"/>
    <cellStyle name="Millares 4 2 2 4 2" xfId="275"/>
    <cellStyle name="Millares 4 2 2 5" xfId="276"/>
    <cellStyle name="Millares 4 2 3" xfId="277"/>
    <cellStyle name="Millares 4 2 3 2" xfId="278"/>
    <cellStyle name="Millares 4 2 3 2 2" xfId="279"/>
    <cellStyle name="Millares 4 2 3 3" xfId="280"/>
    <cellStyle name="Millares 4 2 3 3 2" xfId="281"/>
    <cellStyle name="Millares 4 2 3 4" xfId="282"/>
    <cellStyle name="Millares 4 2 3 4 2" xfId="283"/>
    <cellStyle name="Millares 4 2 3 5" xfId="284"/>
    <cellStyle name="Millares 4 2 4" xfId="285"/>
    <cellStyle name="Millares 4 2 4 2" xfId="286"/>
    <cellStyle name="Millares 4 2 5" xfId="287"/>
    <cellStyle name="Millares 4 2 5 2" xfId="288"/>
    <cellStyle name="Millares 4 2 6" xfId="289"/>
    <cellStyle name="Millares 4 2 6 2" xfId="290"/>
    <cellStyle name="Millares 4 2 7" xfId="291"/>
    <cellStyle name="Millares 4 3" xfId="292"/>
    <cellStyle name="Millares 4 3 2" xfId="293"/>
    <cellStyle name="Millares 4 3 2 2" xfId="294"/>
    <cellStyle name="Millares 4 3 2 2 2" xfId="295"/>
    <cellStyle name="Millares 4 3 2 3" xfId="296"/>
    <cellStyle name="Millares 4 3 2 3 2" xfId="297"/>
    <cellStyle name="Millares 4 3 2 4" xfId="298"/>
    <cellStyle name="Millares 4 3 2 4 2" xfId="299"/>
    <cellStyle name="Millares 4 3 2 5" xfId="300"/>
    <cellStyle name="Millares 4 3 3" xfId="301"/>
    <cellStyle name="Millares 4 3 3 2" xfId="302"/>
    <cellStyle name="Millares 4 3 3 2 2" xfId="303"/>
    <cellStyle name="Millares 4 3 3 3" xfId="304"/>
    <cellStyle name="Millares 4 3 3 3 2" xfId="305"/>
    <cellStyle name="Millares 4 3 3 4" xfId="306"/>
    <cellStyle name="Millares 4 3 3 4 2" xfId="307"/>
    <cellStyle name="Millares 4 3 3 5" xfId="308"/>
    <cellStyle name="Millares 4 3 4" xfId="309"/>
    <cellStyle name="Millares 4 3 4 2" xfId="310"/>
    <cellStyle name="Millares 4 3 5" xfId="311"/>
    <cellStyle name="Millares 4 3 5 2" xfId="312"/>
    <cellStyle name="Millares 4 3 6" xfId="313"/>
    <cellStyle name="Millares 4 3 6 2" xfId="314"/>
    <cellStyle name="Millares 4 3 7" xfId="315"/>
    <cellStyle name="Millares 4 4" xfId="316"/>
    <cellStyle name="Millares 4 4 2" xfId="317"/>
    <cellStyle name="Millares 4 4 2 2" xfId="318"/>
    <cellStyle name="Millares 4 4 3" xfId="319"/>
    <cellStyle name="Millares 4 4 3 2" xfId="320"/>
    <cellStyle name="Millares 4 4 4" xfId="321"/>
    <cellStyle name="Millares 4 4 4 2" xfId="322"/>
    <cellStyle name="Millares 4 4 5" xfId="323"/>
    <cellStyle name="Millares 4 5" xfId="324"/>
    <cellStyle name="Millares 4 5 2" xfId="325"/>
    <cellStyle name="Millares 4 5 2 2" xfId="326"/>
    <cellStyle name="Millares 4 5 3" xfId="327"/>
    <cellStyle name="Millares 4 5 3 2" xfId="328"/>
    <cellStyle name="Millares 4 5 4" xfId="329"/>
    <cellStyle name="Millares 4 5 4 2" xfId="330"/>
    <cellStyle name="Millares 4 5 5" xfId="331"/>
    <cellStyle name="Millares 4 6" xfId="332"/>
    <cellStyle name="Millares 4 6 2" xfId="333"/>
    <cellStyle name="Millares 4 7" xfId="334"/>
    <cellStyle name="Millares 4 7 2" xfId="335"/>
    <cellStyle name="Millares 4 8" xfId="336"/>
    <cellStyle name="Millares 4 8 2" xfId="337"/>
    <cellStyle name="Millares 4 9" xfId="338"/>
    <cellStyle name="Millares 40" xfId="339"/>
    <cellStyle name="Millares 41" xfId="340"/>
    <cellStyle name="Millares 41 2" xfId="341"/>
    <cellStyle name="Millares 41 2 2" xfId="342"/>
    <cellStyle name="Millares 41 2 3" xfId="343"/>
    <cellStyle name="Millares 41 3" xfId="344"/>
    <cellStyle name="Millares 41 3 2" xfId="345"/>
    <cellStyle name="Millares 41 3 3" xfId="346"/>
    <cellStyle name="Millares 41 4" xfId="347"/>
    <cellStyle name="Millares 41 5" xfId="348"/>
    <cellStyle name="Millares 42" xfId="349"/>
    <cellStyle name="Millares 42 2" xfId="350"/>
    <cellStyle name="Millares 42 2 2" xfId="351"/>
    <cellStyle name="Millares 42 2 3" xfId="352"/>
    <cellStyle name="Millares 42 3" xfId="353"/>
    <cellStyle name="Millares 42 3 2" xfId="354"/>
    <cellStyle name="Millares 42 3 3" xfId="355"/>
    <cellStyle name="Millares 42 4" xfId="356"/>
    <cellStyle name="Millares 42 5" xfId="357"/>
    <cellStyle name="Millares 43" xfId="358"/>
    <cellStyle name="Millares 43 2" xfId="359"/>
    <cellStyle name="Millares 43 2 2" xfId="360"/>
    <cellStyle name="Millares 43 2 3" xfId="361"/>
    <cellStyle name="Millares 43 3" xfId="362"/>
    <cellStyle name="Millares 43 3 2" xfId="363"/>
    <cellStyle name="Millares 43 3 3" xfId="364"/>
    <cellStyle name="Millares 43 4" xfId="365"/>
    <cellStyle name="Millares 43 5" xfId="366"/>
    <cellStyle name="Millares 44" xfId="367"/>
    <cellStyle name="Millares 45" xfId="368"/>
    <cellStyle name="Millares 5" xfId="369"/>
    <cellStyle name="Millares 5 2" xfId="370"/>
    <cellStyle name="Millares 5 2 2" xfId="371"/>
    <cellStyle name="Millares 5 2 2 2" xfId="372"/>
    <cellStyle name="Millares 5 2 2 2 2" xfId="373"/>
    <cellStyle name="Millares 5 2 2 3" xfId="374"/>
    <cellStyle name="Millares 5 2 2 3 2" xfId="375"/>
    <cellStyle name="Millares 5 2 2 4" xfId="376"/>
    <cellStyle name="Millares 5 2 2 4 2" xfId="377"/>
    <cellStyle name="Millares 5 2 2 5" xfId="378"/>
    <cellStyle name="Millares 5 2 3" xfId="379"/>
    <cellStyle name="Millares 5 2 3 2" xfId="380"/>
    <cellStyle name="Millares 5 2 3 2 2" xfId="381"/>
    <cellStyle name="Millares 5 2 3 3" xfId="382"/>
    <cellStyle name="Millares 5 2 3 3 2" xfId="383"/>
    <cellStyle name="Millares 5 2 3 4" xfId="384"/>
    <cellStyle name="Millares 5 2 3 4 2" xfId="385"/>
    <cellStyle name="Millares 5 2 3 5" xfId="386"/>
    <cellStyle name="Millares 5 2 4" xfId="387"/>
    <cellStyle name="Millares 5 2 4 2" xfId="388"/>
    <cellStyle name="Millares 5 2 5" xfId="389"/>
    <cellStyle name="Millares 5 2 5 2" xfId="390"/>
    <cellStyle name="Millares 5 2 6" xfId="391"/>
    <cellStyle name="Millares 5 2 6 2" xfId="392"/>
    <cellStyle name="Millares 5 2 7" xfId="393"/>
    <cellStyle name="Millares 5 3" xfId="394"/>
    <cellStyle name="Millares 5 3 2" xfId="395"/>
    <cellStyle name="Millares 5 3 2 2" xfId="396"/>
    <cellStyle name="Millares 5 3 2 2 2" xfId="397"/>
    <cellStyle name="Millares 5 3 2 3" xfId="398"/>
    <cellStyle name="Millares 5 3 2 3 2" xfId="399"/>
    <cellStyle name="Millares 5 3 2 4" xfId="400"/>
    <cellStyle name="Millares 5 3 2 4 2" xfId="401"/>
    <cellStyle name="Millares 5 3 2 5" xfId="402"/>
    <cellStyle name="Millares 5 3 3" xfId="403"/>
    <cellStyle name="Millares 5 3 3 2" xfId="404"/>
    <cellStyle name="Millares 5 3 3 2 2" xfId="405"/>
    <cellStyle name="Millares 5 3 3 3" xfId="406"/>
    <cellStyle name="Millares 5 3 3 3 2" xfId="407"/>
    <cellStyle name="Millares 5 3 3 4" xfId="408"/>
    <cellStyle name="Millares 5 3 3 4 2" xfId="409"/>
    <cellStyle name="Millares 5 3 3 5" xfId="410"/>
    <cellStyle name="Millares 5 3 4" xfId="411"/>
    <cellStyle name="Millares 5 3 4 2" xfId="412"/>
    <cellStyle name="Millares 5 3 5" xfId="413"/>
    <cellStyle name="Millares 5 3 5 2" xfId="414"/>
    <cellStyle name="Millares 5 3 6" xfId="415"/>
    <cellStyle name="Millares 5 3 6 2" xfId="416"/>
    <cellStyle name="Millares 5 3 7" xfId="417"/>
    <cellStyle name="Millares 5 4" xfId="418"/>
    <cellStyle name="Millares 5 4 2" xfId="419"/>
    <cellStyle name="Millares 5 4 2 2" xfId="420"/>
    <cellStyle name="Millares 5 4 3" xfId="421"/>
    <cellStyle name="Millares 5 4 3 2" xfId="422"/>
    <cellStyle name="Millares 5 4 4" xfId="423"/>
    <cellStyle name="Millares 5 4 4 2" xfId="424"/>
    <cellStyle name="Millares 5 4 5" xfId="425"/>
    <cellStyle name="Millares 5 5" xfId="426"/>
    <cellStyle name="Millares 5 5 2" xfId="427"/>
    <cellStyle name="Millares 5 5 2 2" xfId="428"/>
    <cellStyle name="Millares 5 5 3" xfId="429"/>
    <cellStyle name="Millares 5 5 3 2" xfId="430"/>
    <cellStyle name="Millares 5 5 4" xfId="431"/>
    <cellStyle name="Millares 5 5 4 2" xfId="432"/>
    <cellStyle name="Millares 5 5 5" xfId="433"/>
    <cellStyle name="Millares 5 6" xfId="434"/>
    <cellStyle name="Millares 5 6 2" xfId="435"/>
    <cellStyle name="Millares 5 7" xfId="436"/>
    <cellStyle name="Millares 5 7 2" xfId="437"/>
    <cellStyle name="Millares 5 8" xfId="438"/>
    <cellStyle name="Millares 5 8 2" xfId="439"/>
    <cellStyle name="Millares 5 9" xfId="440"/>
    <cellStyle name="Millares 6" xfId="441"/>
    <cellStyle name="Millares 6 2" xfId="442"/>
    <cellStyle name="Millares 6 2 2" xfId="443"/>
    <cellStyle name="Millares 6 2 2 2" xfId="444"/>
    <cellStyle name="Millares 6 2 3" xfId="445"/>
    <cellStyle name="Millares 6 2 3 2" xfId="446"/>
    <cellStyle name="Millares 6 2 4" xfId="447"/>
    <cellStyle name="Millares 6 2 4 2" xfId="448"/>
    <cellStyle name="Millares 6 2 5" xfId="449"/>
    <cellStyle name="Millares 6 3" xfId="450"/>
    <cellStyle name="Millares 6 3 2" xfId="451"/>
    <cellStyle name="Millares 6 3 2 2" xfId="452"/>
    <cellStyle name="Millares 6 3 3" xfId="453"/>
    <cellStyle name="Millares 6 3 3 2" xfId="454"/>
    <cellStyle name="Millares 6 3 4" xfId="455"/>
    <cellStyle name="Millares 6 3 4 2" xfId="456"/>
    <cellStyle name="Millares 6 3 5" xfId="457"/>
    <cellStyle name="Millares 6 4" xfId="458"/>
    <cellStyle name="Millares 6 4 2" xfId="459"/>
    <cellStyle name="Millares 6 5" xfId="460"/>
    <cellStyle name="Millares 6 5 2" xfId="461"/>
    <cellStyle name="Millares 6 6" xfId="462"/>
    <cellStyle name="Millares 6 6 2" xfId="463"/>
    <cellStyle name="Millares 6 7" xfId="464"/>
    <cellStyle name="Millares 7" xfId="465"/>
    <cellStyle name="Millares 7 2" xfId="466"/>
    <cellStyle name="Millares 7 2 2" xfId="467"/>
    <cellStyle name="Millares 7 2 2 2" xfId="468"/>
    <cellStyle name="Millares 7 2 3" xfId="469"/>
    <cellStyle name="Millares 7 2 3 2" xfId="470"/>
    <cellStyle name="Millares 7 2 4" xfId="471"/>
    <cellStyle name="Millares 7 2 4 2" xfId="472"/>
    <cellStyle name="Millares 7 2 5" xfId="473"/>
    <cellStyle name="Millares 7 3" xfId="474"/>
    <cellStyle name="Millares 7 3 2" xfId="475"/>
    <cellStyle name="Millares 7 3 2 2" xfId="476"/>
    <cellStyle name="Millares 7 3 3" xfId="477"/>
    <cellStyle name="Millares 7 3 3 2" xfId="478"/>
    <cellStyle name="Millares 7 3 4" xfId="479"/>
    <cellStyle name="Millares 7 3 4 2" xfId="480"/>
    <cellStyle name="Millares 7 3 5" xfId="481"/>
    <cellStyle name="Millares 7 4" xfId="482"/>
    <cellStyle name="Millares 7 4 2" xfId="483"/>
    <cellStyle name="Millares 7 5" xfId="484"/>
    <cellStyle name="Millares 7 5 2" xfId="485"/>
    <cellStyle name="Millares 7 6" xfId="486"/>
    <cellStyle name="Millares 7 6 2" xfId="487"/>
    <cellStyle name="Millares 7 7" xfId="488"/>
    <cellStyle name="Millares 8" xfId="489"/>
    <cellStyle name="Millares 8 2" xfId="490"/>
    <cellStyle name="Millares 8 2 2" xfId="491"/>
    <cellStyle name="Millares 8 2 3" xfId="492"/>
    <cellStyle name="Millares 8 3" xfId="493"/>
    <cellStyle name="Millares 8 3 2" xfId="494"/>
    <cellStyle name="Millares 8 3 3" xfId="495"/>
    <cellStyle name="Millares 8 4" xfId="496"/>
    <cellStyle name="Millares 8 5" xfId="497"/>
    <cellStyle name="Millares 9" xfId="498"/>
    <cellStyle name="Millares 9 2" xfId="499"/>
    <cellStyle name="Millares 9 2 2" xfId="500"/>
    <cellStyle name="Millares 9 2 2 2" xfId="501"/>
    <cellStyle name="Millares 9 2 3" xfId="502"/>
    <cellStyle name="Millares 9 2 3 2" xfId="503"/>
    <cellStyle name="Millares 9 2 4" xfId="504"/>
    <cellStyle name="Millares 9 2 4 2" xfId="505"/>
    <cellStyle name="Millares 9 2 5" xfId="506"/>
    <cellStyle name="Millares 9 3" xfId="507"/>
    <cellStyle name="Millares 9 3 2" xfId="508"/>
    <cellStyle name="Millares 9 3 3" xfId="509"/>
    <cellStyle name="Millares 9 4" xfId="510"/>
    <cellStyle name="Millares 9 4 2" xfId="511"/>
    <cellStyle name="Millares 9 4 3" xfId="512"/>
    <cellStyle name="Millares 9 5" xfId="513"/>
    <cellStyle name="Millares 9 6" xfId="514"/>
    <cellStyle name="Currency" xfId="515"/>
    <cellStyle name="Currency [0]" xfId="516"/>
    <cellStyle name="Moneda [0] 2" xfId="517"/>
    <cellStyle name="Moneda [0] 2 2" xfId="518"/>
    <cellStyle name="Moneda [0] 2 2 2" xfId="519"/>
    <cellStyle name="Moneda [0] 2 2 2 2" xfId="520"/>
    <cellStyle name="Moneda [0] 2 2 2 3" xfId="521"/>
    <cellStyle name="Moneda [0] 2 2 3" xfId="522"/>
    <cellStyle name="Moneda [0] 2 2 4" xfId="523"/>
    <cellStyle name="Moneda [0] 2 3" xfId="524"/>
    <cellStyle name="Moneda [0] 2 3 2" xfId="525"/>
    <cellStyle name="Moneda [0] 2 3 3" xfId="526"/>
    <cellStyle name="Moneda [0] 2 4" xfId="527"/>
    <cellStyle name="Moneda [0] 2 5" xfId="528"/>
    <cellStyle name="Moneda [0] 3" xfId="529"/>
    <cellStyle name="Moneda [0] 4" xfId="530"/>
    <cellStyle name="Moneda [0] 5" xfId="531"/>
    <cellStyle name="Moneda 10" xfId="532"/>
    <cellStyle name="Moneda 2" xfId="533"/>
    <cellStyle name="Moneda 2 2" xfId="534"/>
    <cellStyle name="Moneda 3" xfId="535"/>
    <cellStyle name="Moneda 3 2" xfId="536"/>
    <cellStyle name="Moneda 3 2 2" xfId="537"/>
    <cellStyle name="Moneda 3 2 2 2" xfId="538"/>
    <cellStyle name="Moneda 3 2 2 2 2" xfId="539"/>
    <cellStyle name="Moneda 3 2 2 3" xfId="540"/>
    <cellStyle name="Moneda 3 2 2 3 2" xfId="541"/>
    <cellStyle name="Moneda 3 2 2 4" xfId="542"/>
    <cellStyle name="Moneda 3 2 2 4 2" xfId="543"/>
    <cellStyle name="Moneda 3 2 2 5" xfId="544"/>
    <cellStyle name="Moneda 3 2 3" xfId="545"/>
    <cellStyle name="Moneda 3 2 3 2" xfId="546"/>
    <cellStyle name="Moneda 3 2 3 2 2" xfId="547"/>
    <cellStyle name="Moneda 3 2 3 3" xfId="548"/>
    <cellStyle name="Moneda 3 2 3 3 2" xfId="549"/>
    <cellStyle name="Moneda 3 2 3 4" xfId="550"/>
    <cellStyle name="Moneda 3 2 3 4 2" xfId="551"/>
    <cellStyle name="Moneda 3 2 3 5" xfId="552"/>
    <cellStyle name="Moneda 3 2 4" xfId="553"/>
    <cellStyle name="Moneda 3 2 4 2" xfId="554"/>
    <cellStyle name="Moneda 3 2 5" xfId="555"/>
    <cellStyle name="Moneda 3 2 5 2" xfId="556"/>
    <cellStyle name="Moneda 3 2 6" xfId="557"/>
    <cellStyle name="Moneda 3 2 6 2" xfId="558"/>
    <cellStyle name="Moneda 3 2 7" xfId="559"/>
    <cellStyle name="Moneda 3 3" xfId="560"/>
    <cellStyle name="Moneda 3 3 2" xfId="561"/>
    <cellStyle name="Moneda 3 3 2 2" xfId="562"/>
    <cellStyle name="Moneda 3 3 2 2 2" xfId="563"/>
    <cellStyle name="Moneda 3 3 2 3" xfId="564"/>
    <cellStyle name="Moneda 3 3 2 3 2" xfId="565"/>
    <cellStyle name="Moneda 3 3 2 4" xfId="566"/>
    <cellStyle name="Moneda 3 3 2 4 2" xfId="567"/>
    <cellStyle name="Moneda 3 3 2 5" xfId="568"/>
    <cellStyle name="Moneda 3 3 3" xfId="569"/>
    <cellStyle name="Moneda 3 3 3 2" xfId="570"/>
    <cellStyle name="Moneda 3 3 3 2 2" xfId="571"/>
    <cellStyle name="Moneda 3 3 3 3" xfId="572"/>
    <cellStyle name="Moneda 3 3 3 3 2" xfId="573"/>
    <cellStyle name="Moneda 3 3 3 4" xfId="574"/>
    <cellStyle name="Moneda 3 3 3 4 2" xfId="575"/>
    <cellStyle name="Moneda 3 3 3 5" xfId="576"/>
    <cellStyle name="Moneda 3 3 4" xfId="577"/>
    <cellStyle name="Moneda 3 3 4 2" xfId="578"/>
    <cellStyle name="Moneda 3 3 5" xfId="579"/>
    <cellStyle name="Moneda 3 3 5 2" xfId="580"/>
    <cellStyle name="Moneda 3 3 6" xfId="581"/>
    <cellStyle name="Moneda 3 3 6 2" xfId="582"/>
    <cellStyle name="Moneda 3 3 7" xfId="583"/>
    <cellStyle name="Moneda 3 4" xfId="584"/>
    <cellStyle name="Moneda 3 4 2" xfId="585"/>
    <cellStyle name="Moneda 3 4 2 2" xfId="586"/>
    <cellStyle name="Moneda 3 4 3" xfId="587"/>
    <cellStyle name="Moneda 3 4 3 2" xfId="588"/>
    <cellStyle name="Moneda 3 4 4" xfId="589"/>
    <cellStyle name="Moneda 3 4 4 2" xfId="590"/>
    <cellStyle name="Moneda 3 4 5" xfId="591"/>
    <cellStyle name="Moneda 3 5" xfId="592"/>
    <cellStyle name="Moneda 3 5 2" xfId="593"/>
    <cellStyle name="Moneda 3 5 2 2" xfId="594"/>
    <cellStyle name="Moneda 3 5 3" xfId="595"/>
    <cellStyle name="Moneda 3 5 3 2" xfId="596"/>
    <cellStyle name="Moneda 3 5 4" xfId="597"/>
    <cellStyle name="Moneda 3 5 4 2" xfId="598"/>
    <cellStyle name="Moneda 3 5 5" xfId="599"/>
    <cellStyle name="Moneda 3 6" xfId="600"/>
    <cellStyle name="Moneda 3 6 2" xfId="601"/>
    <cellStyle name="Moneda 3 7" xfId="602"/>
    <cellStyle name="Moneda 3 7 2" xfId="603"/>
    <cellStyle name="Moneda 3 8" xfId="604"/>
    <cellStyle name="Moneda 3 8 2" xfId="605"/>
    <cellStyle name="Moneda 3 9" xfId="606"/>
    <cellStyle name="Moneda 4" xfId="607"/>
    <cellStyle name="Moneda 5" xfId="608"/>
    <cellStyle name="Moneda 5 2" xfId="609"/>
    <cellStyle name="Moneda 6" xfId="610"/>
    <cellStyle name="Moneda 7" xfId="611"/>
    <cellStyle name="Moneda 8" xfId="612"/>
    <cellStyle name="Moneda 9" xfId="613"/>
    <cellStyle name="Moneda 9 2" xfId="614"/>
    <cellStyle name="Moneda 9 3" xfId="615"/>
    <cellStyle name="Neutral" xfId="616"/>
    <cellStyle name="Normal 2" xfId="617"/>
    <cellStyle name="Normal 2 2" xfId="618"/>
    <cellStyle name="Normal 2 3" xfId="619"/>
    <cellStyle name="Normal 2 4" xfId="620"/>
    <cellStyle name="Normal 3" xfId="621"/>
    <cellStyle name="Normal 3 2" xfId="622"/>
    <cellStyle name="Normal 3 3" xfId="623"/>
    <cellStyle name="Normal 4" xfId="624"/>
    <cellStyle name="Normal 4 2" xfId="625"/>
    <cellStyle name="Normal 5" xfId="626"/>
    <cellStyle name="Normal 6" xfId="627"/>
    <cellStyle name="Notas" xfId="628"/>
    <cellStyle name="Percent" xfId="629"/>
    <cellStyle name="Porcentaje 2" xfId="630"/>
    <cellStyle name="Porcentaje 2 2" xfId="631"/>
    <cellStyle name="Porcentaje 2 3" xfId="632"/>
    <cellStyle name="Porcentaje 2 4" xfId="633"/>
    <cellStyle name="Porcentaje 2 5" xfId="634"/>
    <cellStyle name="Porcentaje 3" xfId="635"/>
    <cellStyle name="Porcentaje 3 2" xfId="636"/>
    <cellStyle name="Porcentaje 3 3" xfId="637"/>
    <cellStyle name="Porcentaje 4" xfId="638"/>
    <cellStyle name="Salida" xfId="639"/>
    <cellStyle name="Texto de advertencia" xfId="640"/>
    <cellStyle name="Texto explicativo" xfId="641"/>
    <cellStyle name="Título" xfId="642"/>
    <cellStyle name="Título 2" xfId="643"/>
    <cellStyle name="Título 3" xfId="644"/>
    <cellStyle name="Total" xfId="6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21</xdr:col>
      <xdr:colOff>419100</xdr:colOff>
      <xdr:row>32</xdr:row>
      <xdr:rowOff>95250</xdr:rowOff>
    </xdr:to>
    <xdr:pic>
      <xdr:nvPicPr>
        <xdr:cNvPr id="1" name="Imagen 1"/>
        <xdr:cNvPicPr preferRelativeResize="1">
          <a:picLocks noChangeAspect="1"/>
        </xdr:cNvPicPr>
      </xdr:nvPicPr>
      <xdr:blipFill>
        <a:blip r:embed="rId1"/>
        <a:stretch>
          <a:fillRect/>
        </a:stretch>
      </xdr:blipFill>
      <xdr:spPr>
        <a:xfrm>
          <a:off x="0" y="190500"/>
          <a:ext cx="16621125" cy="6000750"/>
        </a:xfrm>
        <a:prstGeom prst="rect">
          <a:avLst/>
        </a:prstGeom>
        <a:noFill/>
        <a:ln w="9525" cmpd="sng">
          <a:noFill/>
        </a:ln>
      </xdr:spPr>
    </xdr:pic>
    <xdr:clientData/>
  </xdr:twoCellAnchor>
  <xdr:twoCellAnchor editAs="oneCell">
    <xdr:from>
      <xdr:col>0</xdr:col>
      <xdr:colOff>0</xdr:colOff>
      <xdr:row>35</xdr:row>
      <xdr:rowOff>0</xdr:rowOff>
    </xdr:from>
    <xdr:to>
      <xdr:col>19</xdr:col>
      <xdr:colOff>723900</xdr:colOff>
      <xdr:row>57</xdr:row>
      <xdr:rowOff>171450</xdr:rowOff>
    </xdr:to>
    <xdr:pic>
      <xdr:nvPicPr>
        <xdr:cNvPr id="2" name="Imagen 2"/>
        <xdr:cNvPicPr preferRelativeResize="1">
          <a:picLocks noChangeAspect="1"/>
        </xdr:cNvPicPr>
      </xdr:nvPicPr>
      <xdr:blipFill>
        <a:blip r:embed="rId2"/>
        <a:stretch>
          <a:fillRect/>
        </a:stretch>
      </xdr:blipFill>
      <xdr:spPr>
        <a:xfrm>
          <a:off x="0" y="6667500"/>
          <a:ext cx="15382875" cy="436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NTROLPRESUPUE\coordinador%20pptal\Users\FEDEPAPA\AppData\Local\Microsoft\Windows\INetCache\Content.Outlook\AQ8P2DKE\ACUERDOS%2017%20AL%20JUNTA%2014%20DE%20DICIEMBRE%20DE%202016\Cierre%20definitivo%20Tercer%20Trimestr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NTROLPRESUPUE\coordinador%20pptal\ACUERDOS%2017%20AL%20JUNTA%2014%20DE%20DICIEMBRE%20DE%202016\Cierre%20definitivo%20Tercer%20Trimestre.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ontrapartida%20fedepapa%20202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Usuario\Downloads\PRESUPUESTO%20INGRESOS%202024%20V2%20MADR%20(Con%20precio%202024)%20-%20Ajustad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TO%202024%20EJECUCION%20POR%20PROYECT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2">
        <row r="58">
          <cell r="M58">
            <v>42370</v>
          </cell>
        </row>
        <row r="59">
          <cell r="M59">
            <v>42400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ROP 2016 CIERRE ACDO 13"/>
      <sheetName val="Nomina 2015"/>
      <sheetName val="RECAUDO OK"/>
      <sheetName val="SISTEMAS DE INFORMACIÓN OK "/>
      <sheetName val="ASISTENCIA TÉCNICA OK"/>
      <sheetName val="FERIAS GASTRONOMICAS OK"/>
      <sheetName val="SAC"/>
      <sheetName val="FUNCIONAMIENTO OK"/>
      <sheetName val="Nomina 2016 "/>
    </sheetNames>
    <sheetDataSet>
      <sheetData sheetId="2">
        <row r="58">
          <cell r="M58">
            <v>42370</v>
          </cell>
        </row>
        <row r="59">
          <cell r="M59">
            <v>42400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RAPARTIDA FEDEPAPA"/>
      <sheetName val="Hoja2"/>
      <sheetName val="punta morada"/>
      <sheetName val="CONTRAPARTIDA FEDEPAPA 2021 FIN"/>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S"/>
      <sheetName val="FACTORES 2024"/>
      <sheetName val="PROYECCIÓN CIERRE 2022"/>
      <sheetName val="PROMEDIO RECAUDO"/>
      <sheetName val="RESUMEN 2024"/>
      <sheetName val="Estimación Mensual"/>
    </sheetNames>
    <sheetDataSet>
      <sheetData sheetId="1">
        <row r="5">
          <cell r="E5">
            <v>0.19100151729103632</v>
          </cell>
        </row>
      </sheetData>
      <sheetData sheetId="2">
        <row r="2">
          <cell r="A2" t="str">
            <v>CENTRAL DE ABASTOS</v>
          </cell>
        </row>
        <row r="3">
          <cell r="A3" t="str">
            <v>COMERCIALIZADOR</v>
          </cell>
        </row>
        <row r="4">
          <cell r="A4" t="str">
            <v>FRUVER</v>
          </cell>
        </row>
        <row r="5">
          <cell r="A5" t="str">
            <v>GRANDES SUPERFICIES</v>
          </cell>
        </row>
        <row r="6">
          <cell r="A6" t="str">
            <v>HORECA</v>
          </cell>
        </row>
        <row r="7">
          <cell r="A7" t="str">
            <v>INDUSTRIA</v>
          </cell>
        </row>
        <row r="8">
          <cell r="A8" t="str">
            <v>SEMILLERISTA</v>
          </cell>
        </row>
        <row r="12">
          <cell r="A12" t="str">
            <v>CENTRAL DE ABASTOS</v>
          </cell>
        </row>
        <row r="13">
          <cell r="A13" t="str">
            <v>COMERCIALIZADOR</v>
          </cell>
        </row>
        <row r="14">
          <cell r="A14" t="str">
            <v>FRUVER</v>
          </cell>
        </row>
        <row r="15">
          <cell r="A15" t="str">
            <v>GRANDES SUPERFICIES</v>
          </cell>
        </row>
        <row r="16">
          <cell r="A16" t="str">
            <v>HORECA</v>
          </cell>
        </row>
        <row r="17">
          <cell r="A17" t="str">
            <v>INDUSTRIA</v>
          </cell>
        </row>
        <row r="18">
          <cell r="A18" t="str">
            <v>SEMILLERISTA</v>
          </cell>
        </row>
        <row r="22">
          <cell r="A22" t="str">
            <v>CENTRAL DE ABASTOS</v>
          </cell>
        </row>
        <row r="23">
          <cell r="A23" t="str">
            <v>COMERCIALIZADOR</v>
          </cell>
        </row>
        <row r="24">
          <cell r="A24" t="str">
            <v>FRUVER</v>
          </cell>
        </row>
        <row r="25">
          <cell r="A25" t="str">
            <v>GRANDES SUPERFICIES</v>
          </cell>
        </row>
        <row r="26">
          <cell r="A26" t="str">
            <v>HORECA</v>
          </cell>
        </row>
        <row r="27">
          <cell r="A27" t="str">
            <v>INDUSTRIA</v>
          </cell>
        </row>
        <row r="28">
          <cell r="A28" t="str">
            <v>SEMILLERISTA</v>
          </cell>
        </row>
        <row r="32">
          <cell r="A32" t="str">
            <v>CENTRAL DE ABASTOS</v>
          </cell>
        </row>
        <row r="33">
          <cell r="A33" t="str">
            <v>COMERCIALIZADOR</v>
          </cell>
        </row>
        <row r="34">
          <cell r="A34" t="str">
            <v>FRUVER</v>
          </cell>
        </row>
        <row r="35">
          <cell r="A35" t="str">
            <v>GRANDES SUPERFICIES</v>
          </cell>
        </row>
        <row r="36">
          <cell r="A36" t="str">
            <v>HORECA</v>
          </cell>
        </row>
        <row r="37">
          <cell r="A37" t="str">
            <v>INDUSTRIA</v>
          </cell>
        </row>
        <row r="38">
          <cell r="A38" t="str">
            <v>SEMILLERISTA</v>
          </cell>
        </row>
        <row r="42">
          <cell r="A42" t="str">
            <v>CENTRAL DE ABASTOS</v>
          </cell>
        </row>
        <row r="43">
          <cell r="A43" t="str">
            <v>COMERCIALIZADOR</v>
          </cell>
        </row>
        <row r="44">
          <cell r="A44" t="str">
            <v>FRUVER</v>
          </cell>
        </row>
        <row r="45">
          <cell r="A45" t="str">
            <v>GRANDES SUPERFICIES</v>
          </cell>
        </row>
        <row r="46">
          <cell r="A46" t="str">
            <v>HORECA</v>
          </cell>
        </row>
        <row r="47">
          <cell r="A47" t="str">
            <v>INDUSTRIA</v>
          </cell>
        </row>
        <row r="48">
          <cell r="A48" t="str">
            <v>SEMILLERISTA</v>
          </cell>
        </row>
        <row r="52">
          <cell r="A52" t="str">
            <v>CENTRAL DE ABASTOS</v>
          </cell>
        </row>
        <row r="53">
          <cell r="A53" t="str">
            <v>COMERCIALIZADOR</v>
          </cell>
        </row>
        <row r="54">
          <cell r="A54" t="str">
            <v>FRUVER</v>
          </cell>
        </row>
        <row r="55">
          <cell r="A55" t="str">
            <v>GRANDES SUPERFICIES</v>
          </cell>
        </row>
        <row r="56">
          <cell r="A56" t="str">
            <v>HORECA</v>
          </cell>
        </row>
        <row r="57">
          <cell r="A57" t="str">
            <v>INDUSTRIA</v>
          </cell>
        </row>
        <row r="58">
          <cell r="A58" t="str">
            <v>SEMILLERISTA</v>
          </cell>
        </row>
        <row r="62">
          <cell r="A62" t="str">
            <v>CENTRAL DE ABASTOS</v>
          </cell>
        </row>
        <row r="63">
          <cell r="A63" t="str">
            <v>COMERCIALIZADOR</v>
          </cell>
        </row>
        <row r="64">
          <cell r="A64" t="str">
            <v>FRUVER</v>
          </cell>
        </row>
        <row r="65">
          <cell r="A65" t="str">
            <v>GRANDES SUPERFICIES</v>
          </cell>
        </row>
        <row r="66">
          <cell r="A66" t="str">
            <v>HORECA</v>
          </cell>
        </row>
        <row r="67">
          <cell r="A67" t="str">
            <v>INDUSTRIA</v>
          </cell>
        </row>
        <row r="68">
          <cell r="A68" t="str">
            <v>SEMILLERISTA</v>
          </cell>
        </row>
        <row r="72">
          <cell r="A72" t="str">
            <v>CENTRAL DE ABASTOS</v>
          </cell>
        </row>
        <row r="73">
          <cell r="A73" t="str">
            <v>COMERCIALIZADOR</v>
          </cell>
        </row>
        <row r="74">
          <cell r="A74" t="str">
            <v>FRUVER</v>
          </cell>
        </row>
        <row r="75">
          <cell r="A75" t="str">
            <v>GRANDES SUPERFICIES</v>
          </cell>
        </row>
        <row r="76">
          <cell r="A76" t="str">
            <v>HORECA</v>
          </cell>
        </row>
        <row r="77">
          <cell r="A77" t="str">
            <v>INDUSTRIA</v>
          </cell>
        </row>
        <row r="78">
          <cell r="A78" t="str">
            <v>SEMILLERISTA</v>
          </cell>
        </row>
        <row r="82">
          <cell r="A82" t="str">
            <v>CENTRAL DE ABASTOS</v>
          </cell>
        </row>
        <row r="83">
          <cell r="A83" t="str">
            <v>COMERCIALIZADOR</v>
          </cell>
        </row>
        <row r="84">
          <cell r="A84" t="str">
            <v>FRUVER</v>
          </cell>
        </row>
        <row r="85">
          <cell r="A85" t="str">
            <v>GRANDES SUPERFICIES</v>
          </cell>
        </row>
        <row r="86">
          <cell r="A86" t="str">
            <v>HORECA</v>
          </cell>
        </row>
        <row r="87">
          <cell r="A87" t="str">
            <v>INDUSTRIA</v>
          </cell>
        </row>
        <row r="88">
          <cell r="A88" t="str">
            <v>SEMILLERISTA</v>
          </cell>
        </row>
        <row r="92">
          <cell r="A92" t="str">
            <v>CENTRAL DE ABASTOS</v>
          </cell>
        </row>
        <row r="93">
          <cell r="A93" t="str">
            <v>COMERCIALIZADOR</v>
          </cell>
        </row>
        <row r="94">
          <cell r="A94" t="str">
            <v>FRUVER</v>
          </cell>
        </row>
        <row r="95">
          <cell r="A95" t="str">
            <v>GRANDES SUPERFICIES</v>
          </cell>
        </row>
        <row r="96">
          <cell r="A96" t="str">
            <v>HORECA</v>
          </cell>
        </row>
        <row r="97">
          <cell r="A97" t="str">
            <v>INDUSTRIA</v>
          </cell>
        </row>
        <row r="98">
          <cell r="A98" t="str">
            <v>SEMILLERISTA</v>
          </cell>
        </row>
      </sheetData>
      <sheetData sheetId="5">
        <row r="4">
          <cell r="K4">
            <v>833356891</v>
          </cell>
        </row>
        <row r="5">
          <cell r="K5">
            <v>857796905</v>
          </cell>
        </row>
        <row r="6">
          <cell r="K6">
            <v>932390574</v>
          </cell>
        </row>
        <row r="7">
          <cell r="K7">
            <v>958583791</v>
          </cell>
        </row>
        <row r="8">
          <cell r="K8">
            <v>867097782</v>
          </cell>
        </row>
        <row r="9">
          <cell r="K9">
            <v>830478406</v>
          </cell>
        </row>
        <row r="10">
          <cell r="K10">
            <v>762686982</v>
          </cell>
        </row>
        <row r="11">
          <cell r="K11">
            <v>834840714</v>
          </cell>
        </row>
        <row r="12">
          <cell r="K12">
            <v>793427654</v>
          </cell>
        </row>
        <row r="13">
          <cell r="K13">
            <v>821858400</v>
          </cell>
        </row>
        <row r="14">
          <cell r="K14">
            <v>827245837</v>
          </cell>
        </row>
        <row r="15">
          <cell r="K15">
            <v>828976897</v>
          </cell>
        </row>
        <row r="21">
          <cell r="K21">
            <v>107892144</v>
          </cell>
        </row>
        <row r="22">
          <cell r="K22">
            <v>41067965</v>
          </cell>
        </row>
        <row r="23">
          <cell r="K23">
            <v>16431761</v>
          </cell>
        </row>
        <row r="24">
          <cell r="K24">
            <v>74455133</v>
          </cell>
        </row>
        <row r="25">
          <cell r="K25">
            <v>12275420</v>
          </cell>
        </row>
        <row r="26">
          <cell r="K26">
            <v>19522511</v>
          </cell>
        </row>
        <row r="27">
          <cell r="K27">
            <v>25682819</v>
          </cell>
        </row>
        <row r="28">
          <cell r="K28">
            <v>26924486</v>
          </cell>
        </row>
        <row r="29">
          <cell r="K29">
            <v>218652055</v>
          </cell>
        </row>
        <row r="30">
          <cell r="K30">
            <v>24858029</v>
          </cell>
        </row>
        <row r="31">
          <cell r="K31">
            <v>116697426</v>
          </cell>
        </row>
        <row r="32">
          <cell r="K32">
            <v>32009898</v>
          </cell>
        </row>
        <row r="38">
          <cell r="K38">
            <v>37585457</v>
          </cell>
        </row>
        <row r="39">
          <cell r="K39">
            <v>16047531</v>
          </cell>
        </row>
        <row r="40">
          <cell r="K40">
            <v>6146401</v>
          </cell>
        </row>
        <row r="41">
          <cell r="K41">
            <v>61639896</v>
          </cell>
        </row>
        <row r="42">
          <cell r="K42">
            <v>10778293</v>
          </cell>
        </row>
        <row r="43">
          <cell r="K43">
            <v>25544686</v>
          </cell>
        </row>
        <row r="44">
          <cell r="K44">
            <v>7285560</v>
          </cell>
        </row>
        <row r="45">
          <cell r="K45">
            <v>10490803</v>
          </cell>
        </row>
        <row r="46">
          <cell r="K46">
            <v>307696663</v>
          </cell>
        </row>
        <row r="47">
          <cell r="K47">
            <v>12609463</v>
          </cell>
        </row>
        <row r="48">
          <cell r="K48">
            <v>42057503</v>
          </cell>
        </row>
        <row r="49">
          <cell r="K49">
            <v>21274001</v>
          </cell>
        </row>
        <row r="57">
          <cell r="G57">
            <v>559156250</v>
          </cell>
        </row>
        <row r="64">
          <cell r="G64">
            <v>716469641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UNCIONAMIENTO"/>
      <sheetName val="FUNCIONAMIENTO - RECAUDO"/>
      <sheetName val="ITPA"/>
      <sheetName val="MEJORAMIENTO GENETICO"/>
      <sheetName val="SEMILLA CERTIFICADA"/>
      <sheetName val="CAMPAÑA DE CONSUMO"/>
      <sheetName val="SISTEMAS DE INFORMACION"/>
      <sheetName val="DIVULGACIÓN"/>
      <sheetName val="ASOCIATIVIDAD"/>
      <sheetName val="UNIDAD TECNICA POP"/>
      <sheetName val="TRANSFORMACIÓN"/>
    </sheetNames>
    <sheetDataSet>
      <sheetData sheetId="0">
        <row r="9">
          <cell r="F9">
            <v>7507000</v>
          </cell>
        </row>
        <row r="10">
          <cell r="F10">
            <v>312000</v>
          </cell>
        </row>
        <row r="11">
          <cell r="F11">
            <v>625000</v>
          </cell>
        </row>
        <row r="12">
          <cell r="F12">
            <v>625000</v>
          </cell>
        </row>
        <row r="13">
          <cell r="F13">
            <v>75000</v>
          </cell>
        </row>
        <row r="14">
          <cell r="F14">
            <v>640000</v>
          </cell>
        </row>
        <row r="15">
          <cell r="F15">
            <v>900000</v>
          </cell>
        </row>
        <row r="16">
          <cell r="F16">
            <v>103000</v>
          </cell>
        </row>
        <row r="17">
          <cell r="F17">
            <v>312000</v>
          </cell>
        </row>
        <row r="47">
          <cell r="F47">
            <v>95</v>
          </cell>
        </row>
        <row r="58">
          <cell r="F58">
            <v>4800</v>
          </cell>
        </row>
        <row r="62">
          <cell r="F62">
            <v>22716</v>
          </cell>
        </row>
        <row r="64">
          <cell r="F64">
            <v>98000</v>
          </cell>
        </row>
        <row r="66">
          <cell r="F66">
            <v>19200</v>
          </cell>
        </row>
      </sheetData>
      <sheetData sheetId="1">
        <row r="9">
          <cell r="F9">
            <v>19154000</v>
          </cell>
        </row>
        <row r="10">
          <cell r="F10">
            <v>208000</v>
          </cell>
        </row>
        <row r="11">
          <cell r="F11">
            <v>800000</v>
          </cell>
        </row>
        <row r="12">
          <cell r="F12">
            <v>1607000</v>
          </cell>
        </row>
        <row r="13">
          <cell r="F13">
            <v>1607000</v>
          </cell>
        </row>
        <row r="14">
          <cell r="F14">
            <v>192000</v>
          </cell>
        </row>
        <row r="15">
          <cell r="F15">
            <v>1630000</v>
          </cell>
        </row>
        <row r="16">
          <cell r="F16">
            <v>2297000</v>
          </cell>
        </row>
        <row r="17">
          <cell r="F17">
            <v>598000</v>
          </cell>
        </row>
        <row r="18">
          <cell r="F18">
            <v>800000</v>
          </cell>
        </row>
        <row r="21">
          <cell r="F21">
            <v>104150</v>
          </cell>
        </row>
        <row r="36">
          <cell r="F36">
            <v>31224</v>
          </cell>
        </row>
        <row r="39">
          <cell r="F39">
            <v>37416</v>
          </cell>
        </row>
        <row r="41">
          <cell r="F41">
            <v>8292</v>
          </cell>
        </row>
        <row r="52">
          <cell r="F52">
            <v>17582</v>
          </cell>
        </row>
        <row r="55">
          <cell r="F55">
            <v>840</v>
          </cell>
        </row>
        <row r="62">
          <cell r="F62">
            <v>312480</v>
          </cell>
        </row>
        <row r="66">
          <cell r="F66">
            <v>51240</v>
          </cell>
        </row>
        <row r="70">
          <cell r="F70">
            <v>96636</v>
          </cell>
        </row>
      </sheetData>
      <sheetData sheetId="2">
        <row r="36">
          <cell r="F36">
            <v>0</v>
          </cell>
        </row>
      </sheetData>
      <sheetData sheetId="3">
        <row r="60">
          <cell r="F60">
            <v>36400</v>
          </cell>
        </row>
        <row r="61">
          <cell r="F61">
            <v>168000</v>
          </cell>
        </row>
        <row r="62">
          <cell r="F62">
            <v>58800</v>
          </cell>
        </row>
        <row r="63">
          <cell r="F63">
            <v>3640</v>
          </cell>
        </row>
      </sheetData>
      <sheetData sheetId="5">
        <row r="66">
          <cell r="F66">
            <v>168000</v>
          </cell>
        </row>
      </sheetData>
      <sheetData sheetId="6">
        <row r="58">
          <cell r="F58">
            <v>634720</v>
          </cell>
        </row>
        <row r="59">
          <cell r="F59">
            <v>190042</v>
          </cell>
        </row>
        <row r="60">
          <cell r="F60">
            <v>190042</v>
          </cell>
        </row>
        <row r="61">
          <cell r="F61">
            <v>190042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EDD7EB"/>
  </sheetPr>
  <dimension ref="A1:BT122"/>
  <sheetViews>
    <sheetView zoomScale="80" zoomScaleNormal="80" zoomScalePageLayoutView="0" workbookViewId="0" topLeftCell="A1">
      <pane ySplit="7" topLeftCell="A29" activePane="bottomLeft" state="frozen"/>
      <selection pane="topLeft" activeCell="I53" sqref="I53"/>
      <selection pane="bottomLeft" activeCell="O90" sqref="O90"/>
    </sheetView>
  </sheetViews>
  <sheetFormatPr defaultColWidth="9.140625" defaultRowHeight="15" outlineLevelRow="1" outlineLevelCol="1"/>
  <cols>
    <col min="1" max="1" width="5.421875" style="2" customWidth="1"/>
    <col min="2" max="2" width="28.7109375" style="2" customWidth="1"/>
    <col min="3" max="3" width="18.28125" style="1" customWidth="1" outlineLevel="1"/>
    <col min="4" max="4" width="19.57421875" style="1" customWidth="1" outlineLevel="1"/>
    <col min="5" max="5" width="17.57421875" style="1" customWidth="1" outlineLevel="1"/>
    <col min="6" max="6" width="17.28125" style="1" customWidth="1" outlineLevel="1"/>
    <col min="7" max="7" width="15.421875" style="1" customWidth="1" outlineLevel="1"/>
    <col min="8" max="8" width="17.00390625" style="1" customWidth="1" outlineLevel="1"/>
    <col min="9" max="9" width="18.140625" style="1" customWidth="1" outlineLevel="1"/>
    <col min="10" max="10" width="17.7109375" style="1" customWidth="1" outlineLevel="1"/>
    <col min="11" max="11" width="16.421875" style="1" customWidth="1" outlineLevel="1"/>
    <col min="12" max="12" width="17.8515625" style="1" customWidth="1" outlineLevel="1"/>
    <col min="13" max="13" width="21.28125" style="1" customWidth="1" outlineLevel="1"/>
    <col min="14" max="14" width="16.140625" style="1" customWidth="1" outlineLevel="1"/>
    <col min="15" max="15" width="18.421875" style="58" customWidth="1"/>
    <col min="16" max="16" width="16.421875" style="34" customWidth="1"/>
    <col min="17" max="17" width="17.8515625" style="34" bestFit="1" customWidth="1"/>
    <col min="18" max="19" width="14.8515625" style="34" bestFit="1" customWidth="1"/>
    <col min="20" max="66" width="9.140625" style="34" customWidth="1"/>
    <col min="67" max="16384" width="9.140625" style="2" customWidth="1"/>
  </cols>
  <sheetData>
    <row r="1" ht="15.75" hidden="1">
      <c r="A1" s="43"/>
    </row>
    <row r="2" spans="1:15" ht="15.75" hidden="1">
      <c r="A2" s="43"/>
      <c r="B2" s="303" t="s">
        <v>12</v>
      </c>
      <c r="C2" s="303"/>
      <c r="D2" s="304"/>
      <c r="E2" s="304"/>
      <c r="F2" s="304"/>
      <c r="G2" s="304"/>
      <c r="H2" s="304"/>
      <c r="I2" s="304"/>
      <c r="J2" s="304"/>
      <c r="K2" s="304"/>
      <c r="L2" s="304"/>
      <c r="M2" s="304"/>
      <c r="N2" s="304"/>
      <c r="O2" s="304"/>
    </row>
    <row r="3" spans="1:15" ht="15.75" hidden="1">
      <c r="A3" s="43"/>
      <c r="B3" s="303" t="s">
        <v>13</v>
      </c>
      <c r="C3" s="303"/>
      <c r="D3" s="304"/>
      <c r="E3" s="304"/>
      <c r="F3" s="304"/>
      <c r="G3" s="304"/>
      <c r="H3" s="304"/>
      <c r="I3" s="304"/>
      <c r="J3" s="304"/>
      <c r="K3" s="304"/>
      <c r="L3" s="304"/>
      <c r="M3" s="304"/>
      <c r="N3" s="304"/>
      <c r="O3" s="304"/>
    </row>
    <row r="4" spans="1:15" ht="15.75">
      <c r="A4" s="43"/>
      <c r="B4" s="303" t="s">
        <v>165</v>
      </c>
      <c r="C4" s="303"/>
      <c r="D4" s="304"/>
      <c r="E4" s="304"/>
      <c r="F4" s="304"/>
      <c r="G4" s="304"/>
      <c r="H4" s="304"/>
      <c r="I4" s="304"/>
      <c r="J4" s="304"/>
      <c r="K4" s="304"/>
      <c r="L4" s="304"/>
      <c r="M4" s="304"/>
      <c r="N4" s="304"/>
      <c r="O4" s="304"/>
    </row>
    <row r="5" spans="1:15" ht="15.75" hidden="1">
      <c r="A5" s="43"/>
      <c r="B5" s="303" t="s">
        <v>14</v>
      </c>
      <c r="C5" s="303"/>
      <c r="D5" s="304"/>
      <c r="E5" s="304"/>
      <c r="F5" s="304"/>
      <c r="G5" s="304"/>
      <c r="H5" s="304"/>
      <c r="I5" s="304"/>
      <c r="J5" s="304"/>
      <c r="K5" s="304"/>
      <c r="L5" s="304"/>
      <c r="M5" s="304"/>
      <c r="N5" s="304"/>
      <c r="O5" s="304"/>
    </row>
    <row r="6" spans="1:15" ht="16.5" thickBot="1">
      <c r="A6" s="43"/>
      <c r="B6" s="41"/>
      <c r="C6" s="3"/>
      <c r="D6" s="3"/>
      <c r="E6" s="3"/>
      <c r="F6" s="3"/>
      <c r="G6" s="3"/>
      <c r="H6" s="3"/>
      <c r="I6" s="3"/>
      <c r="J6" s="3"/>
      <c r="K6" s="3"/>
      <c r="L6" s="3"/>
      <c r="M6" s="3"/>
      <c r="N6" s="3"/>
      <c r="O6" s="59"/>
    </row>
    <row r="7" spans="1:72" s="34" customFormat="1" ht="30" customHeight="1" thickBot="1">
      <c r="A7" s="2"/>
      <c r="B7" s="88" t="s">
        <v>15</v>
      </c>
      <c r="C7" s="89" t="s">
        <v>154</v>
      </c>
      <c r="D7" s="89" t="s">
        <v>2</v>
      </c>
      <c r="E7" s="89" t="s">
        <v>1</v>
      </c>
      <c r="F7" s="89" t="s">
        <v>78</v>
      </c>
      <c r="G7" s="89" t="s">
        <v>142</v>
      </c>
      <c r="H7" s="89" t="s">
        <v>143</v>
      </c>
      <c r="I7" s="89" t="s">
        <v>144</v>
      </c>
      <c r="J7" s="89" t="s">
        <v>145</v>
      </c>
      <c r="K7" s="89" t="s">
        <v>91</v>
      </c>
      <c r="L7" s="89" t="s">
        <v>182</v>
      </c>
      <c r="M7" s="163" t="s">
        <v>221</v>
      </c>
      <c r="N7" s="89" t="s">
        <v>183</v>
      </c>
      <c r="O7" s="90" t="s">
        <v>42</v>
      </c>
      <c r="BO7" s="2"/>
      <c r="BP7" s="2"/>
      <c r="BQ7" s="2"/>
      <c r="BR7" s="2"/>
      <c r="BS7" s="2"/>
      <c r="BT7" s="2"/>
    </row>
    <row r="8" spans="1:72" s="34" customFormat="1" ht="15.75" hidden="1">
      <c r="A8" s="2"/>
      <c r="B8" s="92" t="s">
        <v>154</v>
      </c>
      <c r="C8" s="10"/>
      <c r="D8" s="10"/>
      <c r="E8" s="10"/>
      <c r="F8" s="10"/>
      <c r="G8" s="10"/>
      <c r="H8" s="10"/>
      <c r="I8" s="10"/>
      <c r="J8" s="10"/>
      <c r="K8" s="10"/>
      <c r="L8" s="10"/>
      <c r="M8" s="10"/>
      <c r="N8" s="10"/>
      <c r="O8" s="63"/>
      <c r="BO8" s="2"/>
      <c r="BP8" s="2"/>
      <c r="BQ8" s="2"/>
      <c r="BR8" s="2"/>
      <c r="BS8" s="2"/>
      <c r="BT8" s="2"/>
    </row>
    <row r="9" spans="1:72" s="34" customFormat="1" ht="15.75">
      <c r="A9" s="2"/>
      <c r="B9" s="4" t="s">
        <v>16</v>
      </c>
      <c r="C9" s="5">
        <f aca="true" t="shared" si="0" ref="C9:O9">SUM(C10:C13)</f>
        <v>18006142514.79092</v>
      </c>
      <c r="D9" s="5">
        <f t="shared" si="0"/>
        <v>0</v>
      </c>
      <c r="E9" s="5">
        <f t="shared" si="0"/>
        <v>0</v>
      </c>
      <c r="F9" s="5">
        <f t="shared" si="0"/>
        <v>0</v>
      </c>
      <c r="G9" s="5">
        <f t="shared" si="0"/>
        <v>0</v>
      </c>
      <c r="H9" s="5">
        <f t="shared" si="0"/>
        <v>0</v>
      </c>
      <c r="I9" s="5">
        <f t="shared" si="0"/>
        <v>0</v>
      </c>
      <c r="J9" s="5">
        <f t="shared" si="0"/>
        <v>0</v>
      </c>
      <c r="K9" s="5">
        <f t="shared" si="0"/>
        <v>0</v>
      </c>
      <c r="L9" s="5">
        <f t="shared" si="0"/>
        <v>0</v>
      </c>
      <c r="M9" s="5">
        <f>SUM(M10:M13)</f>
        <v>0</v>
      </c>
      <c r="N9" s="5">
        <f t="shared" si="0"/>
        <v>0</v>
      </c>
      <c r="O9" s="60">
        <f t="shared" si="0"/>
        <v>18006142514.79092</v>
      </c>
      <c r="BO9" s="2"/>
      <c r="BP9" s="2"/>
      <c r="BQ9" s="2"/>
      <c r="BR9" s="2"/>
      <c r="BS9" s="2"/>
      <c r="BT9" s="2"/>
    </row>
    <row r="10" spans="1:72" s="34" customFormat="1" ht="15.75">
      <c r="A10" s="2"/>
      <c r="B10" s="6" t="s">
        <v>17</v>
      </c>
      <c r="C10" s="38">
        <v>8969974609</v>
      </c>
      <c r="D10" s="38"/>
      <c r="E10" s="7"/>
      <c r="F10" s="7"/>
      <c r="G10" s="7"/>
      <c r="H10" s="7"/>
      <c r="I10" s="7"/>
      <c r="J10" s="7"/>
      <c r="K10" s="7"/>
      <c r="L10" s="7"/>
      <c r="M10" s="7"/>
      <c r="N10" s="7"/>
      <c r="O10" s="61">
        <f>SUM(C10:N10)</f>
        <v>8969974609</v>
      </c>
      <c r="BO10" s="2"/>
      <c r="BP10" s="2"/>
      <c r="BQ10" s="2"/>
      <c r="BR10" s="2"/>
      <c r="BS10" s="2"/>
      <c r="BT10" s="2"/>
    </row>
    <row r="11" spans="1:72" s="34" customFormat="1" ht="15.75">
      <c r="A11" s="2"/>
      <c r="B11" s="6" t="s">
        <v>60</v>
      </c>
      <c r="C11" s="38">
        <v>716469640</v>
      </c>
      <c r="D11" s="38"/>
      <c r="E11" s="7"/>
      <c r="F11" s="7"/>
      <c r="G11" s="7"/>
      <c r="H11" s="7"/>
      <c r="I11" s="7"/>
      <c r="J11" s="7"/>
      <c r="K11" s="7"/>
      <c r="L11" s="7"/>
      <c r="M11" s="7"/>
      <c r="N11" s="7"/>
      <c r="O11" s="61">
        <f>SUM(C11:N11)</f>
        <v>716469640</v>
      </c>
      <c r="BO11" s="2"/>
      <c r="BP11" s="2"/>
      <c r="BQ11" s="2"/>
      <c r="BR11" s="2"/>
      <c r="BS11" s="2"/>
      <c r="BT11" s="2"/>
    </row>
    <row r="12" spans="1:72" s="34" customFormat="1" ht="15.75">
      <c r="A12" s="2"/>
      <c r="B12" s="6" t="s">
        <v>18</v>
      </c>
      <c r="C12" s="38">
        <v>559156250</v>
      </c>
      <c r="D12" s="38"/>
      <c r="E12" s="7"/>
      <c r="F12" s="7"/>
      <c r="G12" s="8"/>
      <c r="H12" s="7"/>
      <c r="I12" s="8"/>
      <c r="J12" s="7"/>
      <c r="K12" s="8"/>
      <c r="L12" s="7"/>
      <c r="M12" s="8"/>
      <c r="N12" s="8"/>
      <c r="O12" s="62">
        <f>SUM(C12:N12)</f>
        <v>559156250</v>
      </c>
      <c r="BO12" s="2"/>
      <c r="BP12" s="2"/>
      <c r="BQ12" s="2"/>
      <c r="BR12" s="2"/>
      <c r="BS12" s="2"/>
      <c r="BT12" s="2"/>
    </row>
    <row r="13" spans="2:17" s="34" customFormat="1" ht="15.75">
      <c r="B13" s="91" t="s">
        <v>47</v>
      </c>
      <c r="C13" s="38">
        <v>7760542015.79092</v>
      </c>
      <c r="D13" s="38"/>
      <c r="E13" s="38"/>
      <c r="F13" s="38"/>
      <c r="G13" s="38"/>
      <c r="H13" s="38"/>
      <c r="I13" s="38"/>
      <c r="J13" s="38"/>
      <c r="K13" s="38"/>
      <c r="L13" s="38"/>
      <c r="M13" s="38"/>
      <c r="N13" s="38"/>
      <c r="O13" s="62">
        <f>SUM(C13:N13)</f>
        <v>7760542015.79092</v>
      </c>
      <c r="P13" s="33"/>
      <c r="Q13" s="33"/>
    </row>
    <row r="14" spans="1:72" s="34" customFormat="1" ht="15.75">
      <c r="A14" s="2"/>
      <c r="B14" s="9" t="s">
        <v>19</v>
      </c>
      <c r="C14" s="10" t="e">
        <f aca="true" t="shared" si="1" ref="C14:O14">+SUM(C15:C16)</f>
        <v>#REF!</v>
      </c>
      <c r="D14" s="10">
        <f t="shared" si="1"/>
        <v>0</v>
      </c>
      <c r="E14" s="10">
        <f t="shared" si="1"/>
        <v>0</v>
      </c>
      <c r="F14" s="10">
        <f t="shared" si="1"/>
        <v>0</v>
      </c>
      <c r="G14" s="10">
        <f t="shared" si="1"/>
        <v>0</v>
      </c>
      <c r="H14" s="10">
        <f t="shared" si="1"/>
        <v>0</v>
      </c>
      <c r="I14" s="10">
        <f t="shared" si="1"/>
        <v>0</v>
      </c>
      <c r="J14" s="10">
        <f t="shared" si="1"/>
        <v>0</v>
      </c>
      <c r="K14" s="10">
        <f t="shared" si="1"/>
        <v>0</v>
      </c>
      <c r="L14" s="10">
        <f t="shared" si="1"/>
        <v>0</v>
      </c>
      <c r="M14" s="10">
        <f>+SUM(M15:M16)</f>
        <v>0</v>
      </c>
      <c r="N14" s="10">
        <f t="shared" si="1"/>
        <v>0</v>
      </c>
      <c r="O14" s="63" t="e">
        <f t="shared" si="1"/>
        <v>#REF!</v>
      </c>
      <c r="BO14" s="2"/>
      <c r="BP14" s="2"/>
      <c r="BQ14" s="2"/>
      <c r="BR14" s="2"/>
      <c r="BS14" s="2"/>
      <c r="BT14" s="2"/>
    </row>
    <row r="15" spans="1:72" s="34" customFormat="1" ht="15.75">
      <c r="A15" s="2"/>
      <c r="B15" s="6" t="s">
        <v>20</v>
      </c>
      <c r="C15" s="7" t="e">
        <f>+#REF!</f>
        <v>#REF!</v>
      </c>
      <c r="D15" s="7"/>
      <c r="E15" s="7"/>
      <c r="F15" s="7"/>
      <c r="G15" s="7"/>
      <c r="H15" s="7"/>
      <c r="I15" s="7"/>
      <c r="J15" s="7"/>
      <c r="K15" s="7"/>
      <c r="L15" s="7"/>
      <c r="M15" s="7"/>
      <c r="N15" s="7"/>
      <c r="O15" s="61" t="e">
        <f>SUM(C15:N15)</f>
        <v>#REF!</v>
      </c>
      <c r="BO15" s="2"/>
      <c r="BP15" s="2"/>
      <c r="BQ15" s="2"/>
      <c r="BR15" s="2"/>
      <c r="BS15" s="2"/>
      <c r="BT15" s="2"/>
    </row>
    <row r="16" spans="1:72" s="34" customFormat="1" ht="15.75">
      <c r="A16" s="2"/>
      <c r="B16" s="6" t="s">
        <v>21</v>
      </c>
      <c r="C16" s="38" t="e">
        <f>+#REF!</f>
        <v>#REF!</v>
      </c>
      <c r="D16" s="38"/>
      <c r="E16" s="7"/>
      <c r="F16" s="7"/>
      <c r="G16" s="8"/>
      <c r="H16" s="7"/>
      <c r="I16" s="8"/>
      <c r="J16" s="7"/>
      <c r="K16" s="8"/>
      <c r="L16" s="7"/>
      <c r="M16" s="8"/>
      <c r="N16" s="8"/>
      <c r="O16" s="61" t="e">
        <f>SUM(C16:N16)</f>
        <v>#REF!</v>
      </c>
      <c r="BO16" s="2"/>
      <c r="BP16" s="2"/>
      <c r="BQ16" s="2"/>
      <c r="BR16" s="2"/>
      <c r="BS16" s="2"/>
      <c r="BT16" s="2"/>
    </row>
    <row r="17" spans="1:72" s="34" customFormat="1" ht="15.75">
      <c r="A17" s="2"/>
      <c r="B17" s="9" t="s">
        <v>22</v>
      </c>
      <c r="C17" s="10" t="e">
        <f>SUM(C9+C14)</f>
        <v>#REF!</v>
      </c>
      <c r="D17" s="10">
        <f>SUM(D9+D14)</f>
        <v>0</v>
      </c>
      <c r="E17" s="10">
        <f aca="true" t="shared" si="2" ref="E17:N17">SUM(E9+E14+E15)</f>
        <v>0</v>
      </c>
      <c r="F17" s="10">
        <f t="shared" si="2"/>
        <v>0</v>
      </c>
      <c r="G17" s="10">
        <f t="shared" si="2"/>
        <v>0</v>
      </c>
      <c r="H17" s="10">
        <f t="shared" si="2"/>
        <v>0</v>
      </c>
      <c r="I17" s="10">
        <f t="shared" si="2"/>
        <v>0</v>
      </c>
      <c r="J17" s="10">
        <f t="shared" si="2"/>
        <v>0</v>
      </c>
      <c r="K17" s="10">
        <f t="shared" si="2"/>
        <v>0</v>
      </c>
      <c r="L17" s="10">
        <f t="shared" si="2"/>
        <v>0</v>
      </c>
      <c r="M17" s="10">
        <f>SUM(M9+M14+M15)</f>
        <v>0</v>
      </c>
      <c r="N17" s="10">
        <f t="shared" si="2"/>
        <v>0</v>
      </c>
      <c r="O17" s="63" t="e">
        <f>SUM(O9+O14)</f>
        <v>#REF!</v>
      </c>
      <c r="P17" s="36"/>
      <c r="BO17" s="2"/>
      <c r="BP17" s="2"/>
      <c r="BQ17" s="2"/>
      <c r="BR17" s="2"/>
      <c r="BS17" s="2"/>
      <c r="BT17" s="2"/>
    </row>
    <row r="18" spans="2:16" s="34" customFormat="1" ht="15.75">
      <c r="B18" s="93"/>
      <c r="C18" s="94"/>
      <c r="D18" s="94"/>
      <c r="E18" s="94"/>
      <c r="F18" s="94"/>
      <c r="G18" s="94"/>
      <c r="H18" s="94"/>
      <c r="I18" s="94"/>
      <c r="J18" s="94"/>
      <c r="K18" s="94"/>
      <c r="L18" s="94"/>
      <c r="M18" s="94"/>
      <c r="N18" s="94"/>
      <c r="O18" s="95"/>
      <c r="P18" s="36"/>
    </row>
    <row r="19" spans="1:72" s="34" customFormat="1" ht="15.75" hidden="1">
      <c r="A19" s="2"/>
      <c r="B19" s="92" t="s">
        <v>23</v>
      </c>
      <c r="C19" s="10"/>
      <c r="D19" s="10"/>
      <c r="E19" s="10"/>
      <c r="F19" s="10"/>
      <c r="G19" s="10"/>
      <c r="H19" s="10"/>
      <c r="I19" s="10"/>
      <c r="J19" s="10"/>
      <c r="K19" s="10"/>
      <c r="L19" s="10"/>
      <c r="M19" s="10"/>
      <c r="N19" s="10"/>
      <c r="O19" s="63"/>
      <c r="BO19" s="2"/>
      <c r="BP19" s="2"/>
      <c r="BQ19" s="2"/>
      <c r="BR19" s="2"/>
      <c r="BS19" s="2"/>
      <c r="BT19" s="2"/>
    </row>
    <row r="20" spans="1:17" s="34" customFormat="1" ht="15.75">
      <c r="A20" s="2"/>
      <c r="B20" s="13" t="s">
        <v>8</v>
      </c>
      <c r="C20" s="10">
        <f>+C21+C22</f>
        <v>0</v>
      </c>
      <c r="D20" s="10" t="e">
        <f aca="true" t="shared" si="3" ref="D20:O20">+D21+D22</f>
        <v>#REF!</v>
      </c>
      <c r="E20" s="10" t="e">
        <f t="shared" si="3"/>
        <v>#REF!</v>
      </c>
      <c r="F20" s="10" t="e">
        <f t="shared" si="3"/>
        <v>#REF!</v>
      </c>
      <c r="G20" s="10" t="e">
        <f t="shared" si="3"/>
        <v>#REF!</v>
      </c>
      <c r="H20" s="10" t="e">
        <f t="shared" si="3"/>
        <v>#REF!</v>
      </c>
      <c r="I20" s="10" t="e">
        <f t="shared" si="3"/>
        <v>#REF!</v>
      </c>
      <c r="J20" s="10" t="e">
        <f t="shared" si="3"/>
        <v>#REF!</v>
      </c>
      <c r="K20" s="10" t="e">
        <f t="shared" si="3"/>
        <v>#REF!</v>
      </c>
      <c r="L20" s="10" t="e">
        <f t="shared" si="3"/>
        <v>#REF!</v>
      </c>
      <c r="M20" s="10" t="e">
        <f>+M21+M22</f>
        <v>#REF!</v>
      </c>
      <c r="N20" s="10" t="e">
        <f t="shared" si="3"/>
        <v>#REF!</v>
      </c>
      <c r="O20" s="63" t="e">
        <f t="shared" si="3"/>
        <v>#REF!</v>
      </c>
      <c r="P20" s="36" t="e">
        <f>+D20+E20</f>
        <v>#REF!</v>
      </c>
      <c r="Q20" s="36" t="e">
        <f>+F20+G20+H20+I20+J20+K20+L20+M20+N20</f>
        <v>#REF!</v>
      </c>
    </row>
    <row r="21" spans="1:17" s="34" customFormat="1" ht="15.75">
      <c r="A21" s="2"/>
      <c r="B21" s="14" t="s">
        <v>99</v>
      </c>
      <c r="C21" s="7">
        <v>0</v>
      </c>
      <c r="D21" s="7" t="e">
        <f>+#REF!</f>
        <v>#REF!</v>
      </c>
      <c r="E21" s="7" t="e">
        <f>+#REF!+#REF!</f>
        <v>#REF!</v>
      </c>
      <c r="F21" s="7" t="e">
        <f>+#REF!+#REF!</f>
        <v>#REF!</v>
      </c>
      <c r="G21" s="7" t="e">
        <f>+#REF!</f>
        <v>#REF!</v>
      </c>
      <c r="H21" s="7" t="e">
        <f>+#REF!+#REF!</f>
        <v>#REF!</v>
      </c>
      <c r="I21" s="7" t="e">
        <f>+#REF!</f>
        <v>#REF!</v>
      </c>
      <c r="J21" s="7" t="e">
        <f>+#REF!+#REF!</f>
        <v>#REF!</v>
      </c>
      <c r="K21" s="7" t="e">
        <f>+#REF!</f>
        <v>#REF!</v>
      </c>
      <c r="L21" s="7" t="e">
        <f>+#REF!</f>
        <v>#REF!</v>
      </c>
      <c r="M21" s="7">
        <v>0</v>
      </c>
      <c r="N21" s="7">
        <v>0</v>
      </c>
      <c r="O21" s="61" t="e">
        <f>SUM(C21:N21)</f>
        <v>#REF!</v>
      </c>
      <c r="P21" s="34" t="e">
        <f>+'Solicitudes 2024'!#REF!</f>
        <v>#REF!</v>
      </c>
      <c r="Q21" s="34" t="e">
        <f>+'Solicitudes 2024'!#REF!</f>
        <v>#REF!</v>
      </c>
    </row>
    <row r="22" spans="1:17" s="34" customFormat="1" ht="15.75">
      <c r="A22" s="2"/>
      <c r="B22" s="14" t="s">
        <v>146</v>
      </c>
      <c r="C22" s="7">
        <f>SUM(C23:C36)</f>
        <v>0</v>
      </c>
      <c r="D22" s="7" t="e">
        <f>SUM(D23:D36)</f>
        <v>#REF!</v>
      </c>
      <c r="E22" s="7" t="e">
        <f aca="true" t="shared" si="4" ref="E22:N22">SUM(E23:E36)</f>
        <v>#REF!</v>
      </c>
      <c r="F22" s="7">
        <f t="shared" si="4"/>
        <v>0</v>
      </c>
      <c r="G22" s="7" t="e">
        <f t="shared" si="4"/>
        <v>#REF!</v>
      </c>
      <c r="H22" s="7">
        <f t="shared" si="4"/>
        <v>0</v>
      </c>
      <c r="I22" s="7" t="e">
        <f t="shared" si="4"/>
        <v>#REF!</v>
      </c>
      <c r="J22" s="7">
        <f t="shared" si="4"/>
        <v>0</v>
      </c>
      <c r="K22" s="7">
        <f t="shared" si="4"/>
        <v>0</v>
      </c>
      <c r="L22" s="7" t="e">
        <f t="shared" si="4"/>
        <v>#REF!</v>
      </c>
      <c r="M22" s="7" t="e">
        <f t="shared" si="4"/>
        <v>#REF!</v>
      </c>
      <c r="N22" s="7" t="e">
        <f t="shared" si="4"/>
        <v>#REF!</v>
      </c>
      <c r="O22" s="61" t="e">
        <f>SUM(O23:O36)</f>
        <v>#REF!</v>
      </c>
      <c r="P22" s="164" t="e">
        <f>+P20-P21</f>
        <v>#REF!</v>
      </c>
      <c r="Q22" s="164" t="e">
        <f>+Q20-Q21</f>
        <v>#REF!</v>
      </c>
    </row>
    <row r="23" spans="1:17" s="34" customFormat="1" ht="15.75" outlineLevel="1">
      <c r="A23" s="2"/>
      <c r="B23" s="14" t="s">
        <v>139</v>
      </c>
      <c r="C23" s="16">
        <v>0</v>
      </c>
      <c r="D23" s="16" t="e">
        <f>+#REF!</f>
        <v>#REF!</v>
      </c>
      <c r="E23" s="7">
        <v>0</v>
      </c>
      <c r="F23" s="7">
        <v>0</v>
      </c>
      <c r="G23" s="7">
        <v>0</v>
      </c>
      <c r="H23" s="7">
        <v>0</v>
      </c>
      <c r="I23" s="7">
        <v>0</v>
      </c>
      <c r="J23" s="7">
        <v>0</v>
      </c>
      <c r="K23" s="7">
        <v>0</v>
      </c>
      <c r="L23" s="7">
        <v>0</v>
      </c>
      <c r="M23" s="7">
        <v>0</v>
      </c>
      <c r="N23" s="7">
        <v>0</v>
      </c>
      <c r="O23" s="61" t="e">
        <f aca="true" t="shared" si="5" ref="O23:O52">SUM(C23:N23)</f>
        <v>#REF!</v>
      </c>
      <c r="Q23" s="35"/>
    </row>
    <row r="24" spans="1:15" s="34" customFormat="1" ht="15.75" outlineLevel="1">
      <c r="A24" s="2"/>
      <c r="B24" s="14" t="s">
        <v>85</v>
      </c>
      <c r="C24" s="7">
        <v>0</v>
      </c>
      <c r="D24" s="7" t="e">
        <f>+#REF!</f>
        <v>#REF!</v>
      </c>
      <c r="E24" s="7">
        <v>0</v>
      </c>
      <c r="F24" s="7">
        <v>0</v>
      </c>
      <c r="G24" s="7">
        <v>0</v>
      </c>
      <c r="H24" s="7">
        <v>0</v>
      </c>
      <c r="I24" s="7">
        <v>0</v>
      </c>
      <c r="J24" s="7">
        <v>0</v>
      </c>
      <c r="K24" s="7">
        <v>0</v>
      </c>
      <c r="L24" s="7">
        <v>0</v>
      </c>
      <c r="M24" s="7">
        <v>0</v>
      </c>
      <c r="N24" s="7">
        <v>0</v>
      </c>
      <c r="O24" s="61" t="e">
        <f t="shared" si="5"/>
        <v>#REF!</v>
      </c>
    </row>
    <row r="25" spans="1:15" s="34" customFormat="1" ht="15.75" outlineLevel="1">
      <c r="A25" s="2"/>
      <c r="B25" s="14" t="s">
        <v>74</v>
      </c>
      <c r="C25" s="7">
        <v>0</v>
      </c>
      <c r="D25" s="7">
        <v>0</v>
      </c>
      <c r="E25" s="7" t="e">
        <f>+#REF!</f>
        <v>#REF!</v>
      </c>
      <c r="F25" s="7">
        <v>0</v>
      </c>
      <c r="G25" s="7">
        <v>0</v>
      </c>
      <c r="H25" s="7">
        <v>0</v>
      </c>
      <c r="I25" s="7">
        <v>0</v>
      </c>
      <c r="J25" s="7">
        <v>0</v>
      </c>
      <c r="K25" s="7">
        <v>0</v>
      </c>
      <c r="L25" s="7">
        <v>0</v>
      </c>
      <c r="M25" s="7">
        <v>0</v>
      </c>
      <c r="N25" s="7">
        <v>0</v>
      </c>
      <c r="O25" s="61" t="e">
        <f t="shared" si="5"/>
        <v>#REF!</v>
      </c>
    </row>
    <row r="26" spans="1:15" s="34" customFormat="1" ht="15.75" outlineLevel="1">
      <c r="A26" s="2"/>
      <c r="B26" s="14" t="s">
        <v>169</v>
      </c>
      <c r="C26" s="7">
        <v>0</v>
      </c>
      <c r="D26" s="7">
        <v>0</v>
      </c>
      <c r="E26" s="7" t="e">
        <f>+#REF!</f>
        <v>#REF!</v>
      </c>
      <c r="F26" s="7">
        <v>0</v>
      </c>
      <c r="G26" s="7">
        <v>0</v>
      </c>
      <c r="H26" s="7">
        <v>0</v>
      </c>
      <c r="I26" s="7">
        <v>0</v>
      </c>
      <c r="J26" s="7">
        <v>0</v>
      </c>
      <c r="K26" s="7">
        <v>0</v>
      </c>
      <c r="L26" s="7">
        <v>0</v>
      </c>
      <c r="M26" s="7">
        <v>0</v>
      </c>
      <c r="N26" s="7">
        <v>0</v>
      </c>
      <c r="O26" s="61" t="e">
        <f t="shared" si="5"/>
        <v>#REF!</v>
      </c>
    </row>
    <row r="27" spans="1:15" s="34" customFormat="1" ht="15.75" outlineLevel="1">
      <c r="A27" s="2"/>
      <c r="B27" s="14" t="s">
        <v>121</v>
      </c>
      <c r="C27" s="7">
        <v>0</v>
      </c>
      <c r="D27" s="7">
        <v>0</v>
      </c>
      <c r="E27" s="7">
        <v>0</v>
      </c>
      <c r="F27" s="7">
        <v>0</v>
      </c>
      <c r="G27" s="7" t="e">
        <f>+#REF!</f>
        <v>#REF!</v>
      </c>
      <c r="H27" s="7">
        <v>0</v>
      </c>
      <c r="I27" s="7">
        <v>0</v>
      </c>
      <c r="J27" s="7">
        <v>0</v>
      </c>
      <c r="K27" s="7">
        <v>0</v>
      </c>
      <c r="L27" s="7">
        <v>0</v>
      </c>
      <c r="M27" s="7">
        <v>0</v>
      </c>
      <c r="N27" s="7">
        <v>0</v>
      </c>
      <c r="O27" s="61" t="e">
        <f t="shared" si="5"/>
        <v>#REF!</v>
      </c>
    </row>
    <row r="28" spans="1:15" s="34" customFormat="1" ht="15.75" outlineLevel="1">
      <c r="A28" s="2"/>
      <c r="B28" s="14" t="s">
        <v>122</v>
      </c>
      <c r="C28" s="7">
        <v>0</v>
      </c>
      <c r="D28" s="7">
        <v>0</v>
      </c>
      <c r="E28" s="7">
        <v>0</v>
      </c>
      <c r="F28" s="7">
        <v>0</v>
      </c>
      <c r="G28" s="7" t="e">
        <f>+#REF!</f>
        <v>#REF!</v>
      </c>
      <c r="H28" s="7">
        <v>0</v>
      </c>
      <c r="I28" s="7">
        <v>0</v>
      </c>
      <c r="J28" s="7">
        <v>0</v>
      </c>
      <c r="K28" s="7">
        <v>0</v>
      </c>
      <c r="L28" s="7">
        <v>0</v>
      </c>
      <c r="M28" s="7">
        <v>0</v>
      </c>
      <c r="N28" s="7">
        <v>0</v>
      </c>
      <c r="O28" s="61" t="e">
        <f t="shared" si="5"/>
        <v>#REF!</v>
      </c>
    </row>
    <row r="29" spans="1:15" s="34" customFormat="1" ht="15.75" outlineLevel="1">
      <c r="A29" s="2"/>
      <c r="B29" s="14" t="s">
        <v>180</v>
      </c>
      <c r="C29" s="7">
        <v>0</v>
      </c>
      <c r="D29" s="7">
        <v>0</v>
      </c>
      <c r="E29" s="7">
        <v>0</v>
      </c>
      <c r="F29" s="7">
        <v>0</v>
      </c>
      <c r="G29" s="7" t="e">
        <f>+#REF!</f>
        <v>#REF!</v>
      </c>
      <c r="H29" s="7">
        <v>0</v>
      </c>
      <c r="I29" s="7">
        <v>0</v>
      </c>
      <c r="J29" s="7">
        <v>0</v>
      </c>
      <c r="K29" s="7">
        <v>0</v>
      </c>
      <c r="L29" s="7">
        <v>0</v>
      </c>
      <c r="M29" s="7">
        <v>0</v>
      </c>
      <c r="N29" s="7">
        <v>0</v>
      </c>
      <c r="O29" s="61" t="e">
        <f t="shared" si="5"/>
        <v>#REF!</v>
      </c>
    </row>
    <row r="30" spans="1:15" s="34" customFormat="1" ht="15.75" outlineLevel="1">
      <c r="A30" s="2"/>
      <c r="B30" s="14" t="s">
        <v>123</v>
      </c>
      <c r="C30" s="7">
        <v>0</v>
      </c>
      <c r="D30" s="7">
        <v>0</v>
      </c>
      <c r="E30" s="7">
        <v>0</v>
      </c>
      <c r="F30" s="7">
        <v>0</v>
      </c>
      <c r="G30" s="7" t="e">
        <f>+#REF!</f>
        <v>#REF!</v>
      </c>
      <c r="H30" s="7">
        <v>0</v>
      </c>
      <c r="I30" s="7">
        <v>0</v>
      </c>
      <c r="J30" s="7">
        <v>0</v>
      </c>
      <c r="K30" s="7">
        <v>0</v>
      </c>
      <c r="L30" s="7">
        <v>0</v>
      </c>
      <c r="M30" s="7">
        <v>0</v>
      </c>
      <c r="N30" s="7">
        <v>0</v>
      </c>
      <c r="O30" s="61" t="e">
        <f t="shared" si="5"/>
        <v>#REF!</v>
      </c>
    </row>
    <row r="31" spans="1:15" s="34" customFormat="1" ht="15.75" outlineLevel="1">
      <c r="A31" s="2"/>
      <c r="B31" s="14" t="s">
        <v>152</v>
      </c>
      <c r="C31" s="7">
        <v>0</v>
      </c>
      <c r="D31" s="7">
        <v>0</v>
      </c>
      <c r="E31" s="7">
        <v>0</v>
      </c>
      <c r="F31" s="7">
        <v>0</v>
      </c>
      <c r="G31" s="7" t="e">
        <f>+#REF!</f>
        <v>#REF!</v>
      </c>
      <c r="H31" s="7">
        <v>0</v>
      </c>
      <c r="I31" s="7">
        <v>0</v>
      </c>
      <c r="J31" s="7">
        <v>0</v>
      </c>
      <c r="K31" s="7">
        <v>0</v>
      </c>
      <c r="L31" s="7">
        <v>0</v>
      </c>
      <c r="M31" s="7">
        <v>0</v>
      </c>
      <c r="N31" s="7">
        <v>0</v>
      </c>
      <c r="O31" s="61" t="e">
        <f t="shared" si="5"/>
        <v>#REF!</v>
      </c>
    </row>
    <row r="32" spans="1:15" s="34" customFormat="1" ht="15.75" outlineLevel="1">
      <c r="A32" s="2"/>
      <c r="B32" s="14" t="s">
        <v>171</v>
      </c>
      <c r="C32" s="7">
        <v>0</v>
      </c>
      <c r="D32" s="7">
        <v>0</v>
      </c>
      <c r="E32" s="7">
        <v>0</v>
      </c>
      <c r="F32" s="7">
        <v>0</v>
      </c>
      <c r="G32" s="7">
        <v>0</v>
      </c>
      <c r="H32" s="7">
        <v>0</v>
      </c>
      <c r="I32" s="7" t="e">
        <f>+#REF!</f>
        <v>#REF!</v>
      </c>
      <c r="J32" s="7">
        <v>0</v>
      </c>
      <c r="K32" s="7">
        <v>0</v>
      </c>
      <c r="L32" s="7">
        <v>0</v>
      </c>
      <c r="M32" s="7">
        <v>0</v>
      </c>
      <c r="N32" s="7">
        <v>0</v>
      </c>
      <c r="O32" s="61" t="e">
        <f t="shared" si="5"/>
        <v>#REF!</v>
      </c>
    </row>
    <row r="33" spans="1:15" s="34" customFormat="1" ht="15.75" outlineLevel="1">
      <c r="A33" s="2"/>
      <c r="B33" s="14" t="s">
        <v>9</v>
      </c>
      <c r="C33" s="7">
        <v>0</v>
      </c>
      <c r="D33" s="7">
        <v>0</v>
      </c>
      <c r="E33" s="7">
        <v>0</v>
      </c>
      <c r="F33" s="7">
        <v>0</v>
      </c>
      <c r="G33" s="7">
        <v>0</v>
      </c>
      <c r="H33" s="7">
        <v>0</v>
      </c>
      <c r="I33" s="7">
        <v>0</v>
      </c>
      <c r="J33" s="7">
        <v>0</v>
      </c>
      <c r="K33" s="7">
        <v>0</v>
      </c>
      <c r="L33" s="7" t="e">
        <f>+#REF!</f>
        <v>#REF!</v>
      </c>
      <c r="M33" s="7">
        <v>0</v>
      </c>
      <c r="N33" s="7">
        <v>0</v>
      </c>
      <c r="O33" s="61" t="e">
        <f t="shared" si="5"/>
        <v>#REF!</v>
      </c>
    </row>
    <row r="34" spans="1:15" s="34" customFormat="1" ht="15.75" outlineLevel="1">
      <c r="A34" s="2"/>
      <c r="B34" s="14" t="s">
        <v>9</v>
      </c>
      <c r="C34" s="7">
        <v>0</v>
      </c>
      <c r="D34" s="7">
        <v>0</v>
      </c>
      <c r="E34" s="7">
        <v>0</v>
      </c>
      <c r="F34" s="7">
        <v>0</v>
      </c>
      <c r="G34" s="7">
        <v>0</v>
      </c>
      <c r="H34" s="7">
        <v>0</v>
      </c>
      <c r="I34" s="7">
        <v>0</v>
      </c>
      <c r="J34" s="7">
        <v>0</v>
      </c>
      <c r="K34" s="7">
        <v>0</v>
      </c>
      <c r="L34" s="7">
        <v>0</v>
      </c>
      <c r="M34" s="7">
        <v>0</v>
      </c>
      <c r="N34" s="7" t="e">
        <f>+#REF!</f>
        <v>#REF!</v>
      </c>
      <c r="O34" s="61" t="e">
        <f t="shared" si="5"/>
        <v>#REF!</v>
      </c>
    </row>
    <row r="35" spans="1:15" s="34" customFormat="1" ht="15.75" outlineLevel="1">
      <c r="A35" s="2"/>
      <c r="B35" s="14" t="s">
        <v>215</v>
      </c>
      <c r="C35" s="7">
        <v>0</v>
      </c>
      <c r="D35" s="7">
        <v>0</v>
      </c>
      <c r="E35" s="7">
        <v>0</v>
      </c>
      <c r="F35" s="7">
        <v>0</v>
      </c>
      <c r="G35" s="7">
        <v>0</v>
      </c>
      <c r="H35" s="7">
        <v>0</v>
      </c>
      <c r="I35" s="7">
        <v>0</v>
      </c>
      <c r="J35" s="7">
        <v>0</v>
      </c>
      <c r="K35" s="7">
        <v>0</v>
      </c>
      <c r="L35" s="7">
        <v>0</v>
      </c>
      <c r="M35" s="7" t="e">
        <f>+#REF!</f>
        <v>#REF!</v>
      </c>
      <c r="N35" s="7">
        <v>0</v>
      </c>
      <c r="O35" s="61" t="e">
        <f t="shared" si="5"/>
        <v>#REF!</v>
      </c>
    </row>
    <row r="36" spans="1:15" s="34" customFormat="1" ht="15.75" outlineLevel="1">
      <c r="A36" s="2"/>
      <c r="B36" s="14" t="s">
        <v>216</v>
      </c>
      <c r="C36" s="7">
        <v>0</v>
      </c>
      <c r="D36" s="7">
        <v>0</v>
      </c>
      <c r="E36" s="7">
        <v>0</v>
      </c>
      <c r="F36" s="7">
        <v>0</v>
      </c>
      <c r="G36" s="7">
        <v>0</v>
      </c>
      <c r="H36" s="7">
        <v>0</v>
      </c>
      <c r="I36" s="7">
        <v>0</v>
      </c>
      <c r="J36" s="7">
        <v>0</v>
      </c>
      <c r="K36" s="7">
        <v>0</v>
      </c>
      <c r="L36" s="7">
        <v>0</v>
      </c>
      <c r="M36" s="7" t="e">
        <f>+#REF!</f>
        <v>#REF!</v>
      </c>
      <c r="N36" s="7">
        <v>0</v>
      </c>
      <c r="O36" s="61" t="e">
        <f t="shared" si="5"/>
        <v>#REF!</v>
      </c>
    </row>
    <row r="37" spans="1:17" s="34" customFormat="1" ht="15.75">
      <c r="A37" s="2"/>
      <c r="B37" s="13" t="s">
        <v>10</v>
      </c>
      <c r="C37" s="17">
        <f aca="true" t="shared" si="6" ref="C37:O37">SUM(C38:C52)</f>
        <v>0</v>
      </c>
      <c r="D37" s="17" t="e">
        <f t="shared" si="6"/>
        <v>#REF!</v>
      </c>
      <c r="E37" s="17" t="e">
        <f t="shared" si="6"/>
        <v>#REF!</v>
      </c>
      <c r="F37" s="17" t="e">
        <f t="shared" si="6"/>
        <v>#REF!</v>
      </c>
      <c r="G37" s="17" t="e">
        <f t="shared" si="6"/>
        <v>#REF!</v>
      </c>
      <c r="H37" s="17" t="e">
        <f t="shared" si="6"/>
        <v>#REF!</v>
      </c>
      <c r="I37" s="17" t="e">
        <f t="shared" si="6"/>
        <v>#REF!</v>
      </c>
      <c r="J37" s="17" t="e">
        <f t="shared" si="6"/>
        <v>#REF!</v>
      </c>
      <c r="K37" s="17" t="e">
        <f t="shared" si="6"/>
        <v>#REF!</v>
      </c>
      <c r="L37" s="17" t="e">
        <f t="shared" si="6"/>
        <v>#REF!</v>
      </c>
      <c r="M37" s="17" t="e">
        <f>SUM(M38:M52)</f>
        <v>#REF!</v>
      </c>
      <c r="N37" s="17" t="e">
        <f>SUM(N38:N52)</f>
        <v>#REF!</v>
      </c>
      <c r="O37" s="63" t="e">
        <f t="shared" si="6"/>
        <v>#REF!</v>
      </c>
      <c r="P37" s="36" t="e">
        <f>+D37+E37</f>
        <v>#REF!</v>
      </c>
      <c r="Q37" s="36" t="e">
        <f>+F37+G37+H37+I37+J37+K37+L37+M37+N37</f>
        <v>#REF!</v>
      </c>
    </row>
    <row r="38" spans="1:17" s="34" customFormat="1" ht="15.75">
      <c r="A38" s="2"/>
      <c r="B38" s="14" t="s">
        <v>86</v>
      </c>
      <c r="C38" s="16"/>
      <c r="D38" s="16" t="e">
        <f>+#REF!</f>
        <v>#REF!</v>
      </c>
      <c r="E38" s="7" t="e">
        <f>+#REF!</f>
        <v>#REF!</v>
      </c>
      <c r="F38" s="7" t="e">
        <f>+#REF!</f>
        <v>#REF!</v>
      </c>
      <c r="G38" s="7" t="e">
        <f>+#REF!</f>
        <v>#REF!</v>
      </c>
      <c r="H38" s="7" t="e">
        <f>+#REF!</f>
        <v>#REF!</v>
      </c>
      <c r="I38" s="7" t="e">
        <f>+#REF!</f>
        <v>#REF!</v>
      </c>
      <c r="J38" s="7" t="e">
        <f>+#REF!</f>
        <v>#REF!</v>
      </c>
      <c r="K38" s="7" t="e">
        <f>+#REF!</f>
        <v>#REF!</v>
      </c>
      <c r="L38" s="7" t="e">
        <f>+#REF!</f>
        <v>#REF!</v>
      </c>
      <c r="M38" s="7" t="e">
        <f>+#REF!</f>
        <v>#REF!</v>
      </c>
      <c r="N38" s="7" t="e">
        <f>+#REF!</f>
        <v>#REF!</v>
      </c>
      <c r="O38" s="61" t="e">
        <f t="shared" si="5"/>
        <v>#REF!</v>
      </c>
      <c r="P38" s="34" t="e">
        <f>+'Solicitudes 2024'!#REF!</f>
        <v>#REF!</v>
      </c>
      <c r="Q38" s="34" t="e">
        <f>+'Solicitudes 2024'!#REF!</f>
        <v>#REF!</v>
      </c>
    </row>
    <row r="39" spans="1:17" s="34" customFormat="1" ht="15.75">
      <c r="A39" s="2"/>
      <c r="B39" s="14" t="s">
        <v>181</v>
      </c>
      <c r="C39" s="16"/>
      <c r="D39" s="16">
        <v>0</v>
      </c>
      <c r="E39" s="7">
        <v>0</v>
      </c>
      <c r="F39" s="7">
        <v>0</v>
      </c>
      <c r="G39" s="7" t="e">
        <f>+#REF!</f>
        <v>#REF!</v>
      </c>
      <c r="H39" s="7" t="e">
        <f>+#REF!</f>
        <v>#REF!</v>
      </c>
      <c r="I39" s="7">
        <v>0</v>
      </c>
      <c r="J39" s="7">
        <v>0</v>
      </c>
      <c r="K39" s="7">
        <v>0</v>
      </c>
      <c r="L39" s="7">
        <v>0</v>
      </c>
      <c r="M39" s="7" t="e">
        <f>+#REF!</f>
        <v>#REF!</v>
      </c>
      <c r="N39" s="7">
        <v>0</v>
      </c>
      <c r="O39" s="61" t="e">
        <f t="shared" si="5"/>
        <v>#REF!</v>
      </c>
      <c r="P39" s="36" t="e">
        <f>+P37-P38</f>
        <v>#REF!</v>
      </c>
      <c r="Q39" s="36" t="e">
        <f>+Q37-Q38</f>
        <v>#REF!</v>
      </c>
    </row>
    <row r="40" spans="1:15" s="34" customFormat="1" ht="15.75">
      <c r="A40" s="2"/>
      <c r="B40" s="14" t="s">
        <v>34</v>
      </c>
      <c r="C40" s="16"/>
      <c r="D40" s="16">
        <v>0</v>
      </c>
      <c r="E40" s="7">
        <v>0</v>
      </c>
      <c r="F40" s="7" t="e">
        <f>+#REF!</f>
        <v>#REF!</v>
      </c>
      <c r="G40" s="7" t="e">
        <f>+#REF!</f>
        <v>#REF!</v>
      </c>
      <c r="H40" s="7">
        <v>0</v>
      </c>
      <c r="I40" s="7">
        <v>0</v>
      </c>
      <c r="J40" s="7">
        <v>0</v>
      </c>
      <c r="K40" s="7">
        <v>0</v>
      </c>
      <c r="L40" s="7">
        <v>0</v>
      </c>
      <c r="M40" s="7">
        <v>0</v>
      </c>
      <c r="N40" s="7">
        <v>0</v>
      </c>
      <c r="O40" s="61" t="e">
        <f t="shared" si="5"/>
        <v>#REF!</v>
      </c>
    </row>
    <row r="41" spans="1:15" s="34" customFormat="1" ht="15.75">
      <c r="A41" s="2"/>
      <c r="B41" s="14" t="s">
        <v>7</v>
      </c>
      <c r="C41" s="16"/>
      <c r="D41" s="16" t="e">
        <f>+#REF!</f>
        <v>#REF!</v>
      </c>
      <c r="E41" s="7" t="e">
        <f>+#REF!</f>
        <v>#REF!</v>
      </c>
      <c r="F41" s="7" t="e">
        <f>+#REF!</f>
        <v>#REF!</v>
      </c>
      <c r="G41" s="7" t="e">
        <f>+#REF!</f>
        <v>#REF!</v>
      </c>
      <c r="H41" s="7" t="e">
        <f>+#REF!</f>
        <v>#REF!</v>
      </c>
      <c r="I41" s="7" t="e">
        <f>+#REF!</f>
        <v>#REF!</v>
      </c>
      <c r="J41" s="7" t="e">
        <f>+#REF!</f>
        <v>#REF!</v>
      </c>
      <c r="K41" s="7" t="e">
        <f>+#REF!</f>
        <v>#REF!</v>
      </c>
      <c r="L41" s="7" t="e">
        <f>+#REF!</f>
        <v>#REF!</v>
      </c>
      <c r="M41" s="7" t="e">
        <f>+#REF!</f>
        <v>#REF!</v>
      </c>
      <c r="N41" s="7" t="e">
        <f>+#REF!</f>
        <v>#REF!</v>
      </c>
      <c r="O41" s="61" t="e">
        <f t="shared" si="5"/>
        <v>#REF!</v>
      </c>
    </row>
    <row r="42" spans="1:15" s="34" customFormat="1" ht="15.75">
      <c r="A42" s="2"/>
      <c r="B42" s="14" t="s">
        <v>4</v>
      </c>
      <c r="C42" s="16"/>
      <c r="D42" s="16">
        <v>0</v>
      </c>
      <c r="E42" s="7" t="e">
        <f>+#REF!</f>
        <v>#REF!</v>
      </c>
      <c r="F42" s="7" t="e">
        <f>+#REF!</f>
        <v>#REF!</v>
      </c>
      <c r="G42" s="7">
        <v>0</v>
      </c>
      <c r="H42" s="7">
        <v>0</v>
      </c>
      <c r="I42" s="7">
        <v>0</v>
      </c>
      <c r="J42" s="7">
        <v>0</v>
      </c>
      <c r="K42" s="7" t="e">
        <f>+#REF!</f>
        <v>#REF!</v>
      </c>
      <c r="L42" s="7" t="e">
        <f>+#REF!</f>
        <v>#REF!</v>
      </c>
      <c r="M42" s="7">
        <v>0</v>
      </c>
      <c r="N42" s="7">
        <v>0</v>
      </c>
      <c r="O42" s="61" t="e">
        <f t="shared" si="5"/>
        <v>#REF!</v>
      </c>
    </row>
    <row r="43" spans="1:15" s="34" customFormat="1" ht="15.75">
      <c r="A43" s="2"/>
      <c r="B43" s="14" t="s">
        <v>35</v>
      </c>
      <c r="C43" s="16"/>
      <c r="D43" s="16" t="e">
        <f>+#REF!</f>
        <v>#REF!</v>
      </c>
      <c r="E43" s="7" t="e">
        <f>+#REF!</f>
        <v>#REF!</v>
      </c>
      <c r="F43" s="7" t="e">
        <f>+#REF!</f>
        <v>#REF!</v>
      </c>
      <c r="G43" s="7" t="e">
        <f>+#REF!</f>
        <v>#REF!</v>
      </c>
      <c r="H43" s="7" t="e">
        <f>+#REF!</f>
        <v>#REF!</v>
      </c>
      <c r="I43" s="7" t="e">
        <f>+#REF!</f>
        <v>#REF!</v>
      </c>
      <c r="J43" s="7" t="e">
        <f>+#REF!</f>
        <v>#REF!</v>
      </c>
      <c r="K43" s="7" t="e">
        <f>+#REF!</f>
        <v>#REF!</v>
      </c>
      <c r="L43" s="7" t="e">
        <f>+#REF!</f>
        <v>#REF!</v>
      </c>
      <c r="M43" s="7" t="e">
        <f>+#REF!</f>
        <v>#REF!</v>
      </c>
      <c r="N43" s="7" t="e">
        <f>+#REF!</f>
        <v>#REF!</v>
      </c>
      <c r="O43" s="61" t="e">
        <f t="shared" si="5"/>
        <v>#REF!</v>
      </c>
    </row>
    <row r="44" spans="1:15" s="34" customFormat="1" ht="15.75">
      <c r="A44" s="2"/>
      <c r="B44" s="14" t="s">
        <v>6</v>
      </c>
      <c r="C44" s="16"/>
      <c r="D44" s="16" t="e">
        <f>+#REF!+#REF!</f>
        <v>#REF!</v>
      </c>
      <c r="E44" s="7" t="e">
        <f>+#REF!+#REF!</f>
        <v>#REF!</v>
      </c>
      <c r="F44" s="7" t="e">
        <f>+#REF!+#REF!</f>
        <v>#REF!</v>
      </c>
      <c r="G44" s="7" t="e">
        <f>+#REF!+#REF!</f>
        <v>#REF!</v>
      </c>
      <c r="H44" s="7" t="e">
        <f>+#REF!</f>
        <v>#REF!</v>
      </c>
      <c r="I44" s="7" t="e">
        <f>+#REF!+#REF!</f>
        <v>#REF!</v>
      </c>
      <c r="J44" s="7" t="e">
        <f>+#REF!+#REF!</f>
        <v>#REF!</v>
      </c>
      <c r="K44" s="7" t="e">
        <f>+#REF!+#REF!</f>
        <v>#REF!</v>
      </c>
      <c r="L44" s="7" t="e">
        <f>+#REF!+#REF!</f>
        <v>#REF!</v>
      </c>
      <c r="M44" s="7" t="e">
        <f>+#REF!</f>
        <v>#REF!</v>
      </c>
      <c r="N44" s="7" t="e">
        <f>+#REF!+#REF!</f>
        <v>#REF!</v>
      </c>
      <c r="O44" s="61" t="e">
        <f t="shared" si="5"/>
        <v>#REF!</v>
      </c>
    </row>
    <row r="45" spans="1:15" s="34" customFormat="1" ht="15.75">
      <c r="A45" s="2"/>
      <c r="B45" s="14" t="s">
        <v>76</v>
      </c>
      <c r="C45" s="16"/>
      <c r="D45" s="16" t="e">
        <f>+#REF!</f>
        <v>#REF!</v>
      </c>
      <c r="E45" s="7" t="e">
        <f>+#REF!</f>
        <v>#REF!</v>
      </c>
      <c r="F45" s="7" t="e">
        <f>+#REF!</f>
        <v>#REF!</v>
      </c>
      <c r="G45" s="7">
        <v>0</v>
      </c>
      <c r="H45" s="7" t="e">
        <f>+#REF!</f>
        <v>#REF!</v>
      </c>
      <c r="I45" s="7" t="e">
        <f>+#REF!</f>
        <v>#REF!</v>
      </c>
      <c r="J45" s="7" t="e">
        <f>+#REF!</f>
        <v>#REF!</v>
      </c>
      <c r="K45" s="7" t="e">
        <f>+#REF!</f>
        <v>#REF!</v>
      </c>
      <c r="L45" s="7" t="e">
        <f>+#REF!</f>
        <v>#REF!</v>
      </c>
      <c r="M45" s="7" t="e">
        <f>+#REF!</f>
        <v>#REF!</v>
      </c>
      <c r="N45" s="7" t="e">
        <f>+#REF!</f>
        <v>#REF!</v>
      </c>
      <c r="O45" s="61" t="e">
        <f t="shared" si="5"/>
        <v>#REF!</v>
      </c>
    </row>
    <row r="46" spans="1:15" s="34" customFormat="1" ht="15.75">
      <c r="A46" s="2"/>
      <c r="B46" s="40" t="s">
        <v>77</v>
      </c>
      <c r="C46" s="16"/>
      <c r="D46" s="16">
        <v>0</v>
      </c>
      <c r="E46" s="7" t="e">
        <f>+#REF!</f>
        <v>#REF!</v>
      </c>
      <c r="F46" s="7" t="e">
        <f>+#REF!</f>
        <v>#REF!</v>
      </c>
      <c r="G46" s="7">
        <v>0</v>
      </c>
      <c r="H46" s="7" t="e">
        <f>+#REF!</f>
        <v>#REF!</v>
      </c>
      <c r="I46" s="7" t="e">
        <f>+#REF!</f>
        <v>#REF!</v>
      </c>
      <c r="J46" s="7" t="e">
        <f>+#REF!</f>
        <v>#REF!</v>
      </c>
      <c r="K46" s="7" t="e">
        <f>+#REF!</f>
        <v>#REF!</v>
      </c>
      <c r="L46" s="7" t="e">
        <f>+#REF!</f>
        <v>#REF!</v>
      </c>
      <c r="M46" s="7" t="e">
        <f>+#REF!</f>
        <v>#REF!</v>
      </c>
      <c r="N46" s="7" t="e">
        <f>+#REF!</f>
        <v>#REF!</v>
      </c>
      <c r="O46" s="61" t="e">
        <f t="shared" si="5"/>
        <v>#REF!</v>
      </c>
    </row>
    <row r="47" spans="1:15" s="34" customFormat="1" ht="15.75">
      <c r="A47" s="2"/>
      <c r="B47" s="14" t="s">
        <v>36</v>
      </c>
      <c r="C47" s="16"/>
      <c r="D47" s="16">
        <v>0</v>
      </c>
      <c r="E47" s="7" t="e">
        <f>+#REF!</f>
        <v>#REF!</v>
      </c>
      <c r="F47" s="7">
        <v>0</v>
      </c>
      <c r="G47" s="7">
        <v>0</v>
      </c>
      <c r="H47" s="7">
        <v>0</v>
      </c>
      <c r="I47" s="7">
        <v>0</v>
      </c>
      <c r="J47" s="7">
        <v>0</v>
      </c>
      <c r="K47" s="7">
        <v>0</v>
      </c>
      <c r="L47" s="7">
        <v>0</v>
      </c>
      <c r="M47" s="7">
        <v>0</v>
      </c>
      <c r="N47" s="7">
        <v>0</v>
      </c>
      <c r="O47" s="61" t="e">
        <f t="shared" si="5"/>
        <v>#REF!</v>
      </c>
    </row>
    <row r="48" spans="1:15" s="34" customFormat="1" ht="15.75">
      <c r="A48" s="2"/>
      <c r="B48" s="14" t="s">
        <v>5</v>
      </c>
      <c r="C48" s="16"/>
      <c r="D48" s="16" t="e">
        <f>+#REF!</f>
        <v>#REF!</v>
      </c>
      <c r="E48" s="7" t="e">
        <f>+#REF!</f>
        <v>#REF!</v>
      </c>
      <c r="F48" s="7" t="e">
        <f>+#REF!</f>
        <v>#REF!</v>
      </c>
      <c r="G48" s="7" t="e">
        <f>+#REF!</f>
        <v>#REF!</v>
      </c>
      <c r="H48" s="7">
        <v>0</v>
      </c>
      <c r="I48" s="7" t="e">
        <f>+#REF!</f>
        <v>#REF!</v>
      </c>
      <c r="J48" s="7" t="e">
        <f>+#REF!</f>
        <v>#REF!</v>
      </c>
      <c r="K48" s="7" t="e">
        <f>+#REF!</f>
        <v>#REF!</v>
      </c>
      <c r="L48" s="7" t="e">
        <f>+#REF!</f>
        <v>#REF!</v>
      </c>
      <c r="M48" s="7" t="e">
        <f>+#REF!</f>
        <v>#REF!</v>
      </c>
      <c r="N48" s="7" t="e">
        <f>+#REF!</f>
        <v>#REF!</v>
      </c>
      <c r="O48" s="61" t="e">
        <f t="shared" si="5"/>
        <v>#REF!</v>
      </c>
    </row>
    <row r="49" spans="1:15" s="34" customFormat="1" ht="15.75">
      <c r="A49" s="2"/>
      <c r="B49" s="14" t="s">
        <v>33</v>
      </c>
      <c r="C49" s="16"/>
      <c r="D49" s="16" t="e">
        <f>+#REF!</f>
        <v>#REF!</v>
      </c>
      <c r="E49" s="7" t="e">
        <f>+#REF!</f>
        <v>#REF!</v>
      </c>
      <c r="F49" s="7" t="e">
        <f>+#REF!</f>
        <v>#REF!</v>
      </c>
      <c r="G49" s="7" t="e">
        <f>+#REF!</f>
        <v>#REF!</v>
      </c>
      <c r="H49" s="7" t="e">
        <f>+#REF!</f>
        <v>#REF!</v>
      </c>
      <c r="I49" s="7" t="e">
        <f>+#REF!</f>
        <v>#REF!</v>
      </c>
      <c r="J49" s="7" t="e">
        <f>+#REF!</f>
        <v>#REF!</v>
      </c>
      <c r="K49" s="7" t="e">
        <f>+#REF!</f>
        <v>#REF!</v>
      </c>
      <c r="L49" s="7" t="e">
        <f>+#REF!</f>
        <v>#REF!</v>
      </c>
      <c r="M49" s="7">
        <v>0</v>
      </c>
      <c r="N49" s="7">
        <v>0</v>
      </c>
      <c r="O49" s="61" t="e">
        <f t="shared" si="5"/>
        <v>#REF!</v>
      </c>
    </row>
    <row r="50" spans="1:15" s="34" customFormat="1" ht="15.75">
      <c r="A50" s="2"/>
      <c r="B50" s="14" t="s">
        <v>37</v>
      </c>
      <c r="C50" s="16"/>
      <c r="D50" s="16" t="e">
        <f>+#REF!</f>
        <v>#REF!</v>
      </c>
      <c r="E50" s="7" t="e">
        <f>+#REF!</f>
        <v>#REF!</v>
      </c>
      <c r="F50" s="7">
        <v>0</v>
      </c>
      <c r="G50" s="7" t="e">
        <f>+#REF!</f>
        <v>#REF!</v>
      </c>
      <c r="H50" s="7" t="e">
        <f>+#REF!</f>
        <v>#REF!</v>
      </c>
      <c r="I50" s="7">
        <v>0</v>
      </c>
      <c r="J50" s="7">
        <v>0</v>
      </c>
      <c r="K50" s="7">
        <v>0</v>
      </c>
      <c r="L50" s="7">
        <v>0</v>
      </c>
      <c r="M50" s="7">
        <v>0</v>
      </c>
      <c r="N50" s="7">
        <v>0</v>
      </c>
      <c r="O50" s="61" t="e">
        <f t="shared" si="5"/>
        <v>#REF!</v>
      </c>
    </row>
    <row r="51" spans="1:15" s="34" customFormat="1" ht="15.75">
      <c r="A51" s="2"/>
      <c r="B51" s="14" t="s">
        <v>11</v>
      </c>
      <c r="C51" s="16"/>
      <c r="D51" s="16" t="e">
        <f>+#REF!</f>
        <v>#REF!</v>
      </c>
      <c r="E51" s="7">
        <v>0</v>
      </c>
      <c r="F51" s="7">
        <v>0</v>
      </c>
      <c r="G51" s="7">
        <v>0</v>
      </c>
      <c r="H51" s="7">
        <v>0</v>
      </c>
      <c r="I51" s="7">
        <v>0</v>
      </c>
      <c r="J51" s="7">
        <v>0</v>
      </c>
      <c r="K51" s="7">
        <v>0</v>
      </c>
      <c r="L51" s="7">
        <v>0</v>
      </c>
      <c r="M51" s="7">
        <v>0</v>
      </c>
      <c r="N51" s="7">
        <v>0</v>
      </c>
      <c r="O51" s="61" t="e">
        <f>SUM(C51:N51)</f>
        <v>#REF!</v>
      </c>
    </row>
    <row r="52" spans="1:16" s="34" customFormat="1" ht="16.5" thickBot="1">
      <c r="A52" s="2"/>
      <c r="B52" s="18" t="s">
        <v>38</v>
      </c>
      <c r="C52" s="69"/>
      <c r="D52" s="69" t="e">
        <f>+#REF!</f>
        <v>#REF!</v>
      </c>
      <c r="E52" s="19">
        <v>0</v>
      </c>
      <c r="F52" s="19">
        <v>0</v>
      </c>
      <c r="G52" s="19">
        <v>0</v>
      </c>
      <c r="H52" s="19">
        <v>0</v>
      </c>
      <c r="I52" s="19">
        <v>0</v>
      </c>
      <c r="J52" s="19">
        <v>0</v>
      </c>
      <c r="K52" s="19">
        <v>0</v>
      </c>
      <c r="L52" s="19">
        <v>0</v>
      </c>
      <c r="M52" s="19">
        <v>0</v>
      </c>
      <c r="N52" s="19">
        <v>0</v>
      </c>
      <c r="O52" s="61" t="e">
        <f t="shared" si="5"/>
        <v>#REF!</v>
      </c>
      <c r="P52" s="35"/>
    </row>
    <row r="53" spans="1:15" s="34" customFormat="1" ht="16.5" thickBot="1">
      <c r="A53" s="2"/>
      <c r="B53" s="20" t="s">
        <v>82</v>
      </c>
      <c r="C53" s="21">
        <f aca="true" t="shared" si="7" ref="C53:O53">+C54</f>
        <v>0</v>
      </c>
      <c r="D53" s="21" t="e">
        <f t="shared" si="7"/>
        <v>#REF!</v>
      </c>
      <c r="E53" s="21">
        <f t="shared" si="7"/>
        <v>0</v>
      </c>
      <c r="F53" s="21">
        <f t="shared" si="7"/>
        <v>0</v>
      </c>
      <c r="G53" s="21">
        <f t="shared" si="7"/>
        <v>0</v>
      </c>
      <c r="H53" s="21">
        <f t="shared" si="7"/>
        <v>0</v>
      </c>
      <c r="I53" s="21">
        <f t="shared" si="7"/>
        <v>0</v>
      </c>
      <c r="J53" s="21">
        <f t="shared" si="7"/>
        <v>0</v>
      </c>
      <c r="K53" s="21">
        <f t="shared" si="7"/>
        <v>0</v>
      </c>
      <c r="L53" s="21">
        <f t="shared" si="7"/>
        <v>0</v>
      </c>
      <c r="M53" s="21">
        <f t="shared" si="7"/>
        <v>0</v>
      </c>
      <c r="N53" s="21">
        <f t="shared" si="7"/>
        <v>0</v>
      </c>
      <c r="O53" s="64" t="e">
        <f t="shared" si="7"/>
        <v>#REF!</v>
      </c>
    </row>
    <row r="54" spans="1:15" s="34" customFormat="1" ht="15.75">
      <c r="A54" s="2"/>
      <c r="B54" s="22" t="s">
        <v>39</v>
      </c>
      <c r="C54" s="23"/>
      <c r="D54" s="23" t="e">
        <f>+#REF!</f>
        <v>#REF!</v>
      </c>
      <c r="E54" s="23">
        <f aca="true" t="shared" si="8" ref="E54:N54">(+E10+E11)*10%</f>
        <v>0</v>
      </c>
      <c r="F54" s="23">
        <f t="shared" si="8"/>
        <v>0</v>
      </c>
      <c r="G54" s="23">
        <f t="shared" si="8"/>
        <v>0</v>
      </c>
      <c r="H54" s="23">
        <f t="shared" si="8"/>
        <v>0</v>
      </c>
      <c r="I54" s="23">
        <f t="shared" si="8"/>
        <v>0</v>
      </c>
      <c r="J54" s="23">
        <f t="shared" si="8"/>
        <v>0</v>
      </c>
      <c r="K54" s="23">
        <f t="shared" si="8"/>
        <v>0</v>
      </c>
      <c r="L54" s="23">
        <f t="shared" si="8"/>
        <v>0</v>
      </c>
      <c r="M54" s="23">
        <f t="shared" si="8"/>
        <v>0</v>
      </c>
      <c r="N54" s="23">
        <f t="shared" si="8"/>
        <v>0</v>
      </c>
      <c r="O54" s="65" t="e">
        <f>SUM(C54:N54)</f>
        <v>#REF!</v>
      </c>
    </row>
    <row r="55" spans="1:72" s="34" customFormat="1" ht="15.75">
      <c r="A55" s="2"/>
      <c r="B55" s="13" t="s">
        <v>40</v>
      </c>
      <c r="C55" s="17">
        <f>+C56+C69+C74+C79+C81</f>
        <v>0</v>
      </c>
      <c r="D55" s="17">
        <f>+D56+D69+D74+D79+D81</f>
        <v>0</v>
      </c>
      <c r="E55" s="17">
        <f aca="true" t="shared" si="9" ref="E55:O55">+E56+E69+E74+E79+E81</f>
        <v>0</v>
      </c>
      <c r="F55" s="17" t="e">
        <f t="shared" si="9"/>
        <v>#REF!</v>
      </c>
      <c r="G55" s="17" t="e">
        <f t="shared" si="9"/>
        <v>#REF!</v>
      </c>
      <c r="H55" s="17" t="e">
        <f t="shared" si="9"/>
        <v>#REF!</v>
      </c>
      <c r="I55" s="17" t="e">
        <f t="shared" si="9"/>
        <v>#REF!</v>
      </c>
      <c r="J55" s="17" t="e">
        <f t="shared" si="9"/>
        <v>#REF!</v>
      </c>
      <c r="K55" s="17">
        <f t="shared" si="9"/>
        <v>0</v>
      </c>
      <c r="L55" s="17" t="e">
        <f t="shared" si="9"/>
        <v>#REF!</v>
      </c>
      <c r="M55" s="17" t="e">
        <f t="shared" si="9"/>
        <v>#REF!</v>
      </c>
      <c r="N55" s="17">
        <f t="shared" si="9"/>
        <v>0</v>
      </c>
      <c r="O55" s="66" t="e">
        <f t="shared" si="9"/>
        <v>#REF!</v>
      </c>
      <c r="Q55" s="36"/>
      <c r="BO55" s="2"/>
      <c r="BP55" s="2"/>
      <c r="BQ55" s="2"/>
      <c r="BR55" s="2"/>
      <c r="BS55" s="2"/>
      <c r="BT55" s="2"/>
    </row>
    <row r="56" spans="1:72" s="34" customFormat="1" ht="15.75">
      <c r="A56" s="2"/>
      <c r="B56" s="96" t="s">
        <v>117</v>
      </c>
      <c r="C56" s="97">
        <f aca="true" t="shared" si="10" ref="C56:O56">SUM(C57:C68)</f>
        <v>0</v>
      </c>
      <c r="D56" s="97">
        <f t="shared" si="10"/>
        <v>0</v>
      </c>
      <c r="E56" s="97">
        <f t="shared" si="10"/>
        <v>0</v>
      </c>
      <c r="F56" s="97" t="e">
        <f t="shared" si="10"/>
        <v>#REF!</v>
      </c>
      <c r="G56" s="97" t="e">
        <f t="shared" si="10"/>
        <v>#REF!</v>
      </c>
      <c r="H56" s="97" t="e">
        <f t="shared" si="10"/>
        <v>#REF!</v>
      </c>
      <c r="I56" s="97">
        <f t="shared" si="10"/>
        <v>0</v>
      </c>
      <c r="J56" s="97">
        <f t="shared" si="10"/>
        <v>0</v>
      </c>
      <c r="K56" s="97">
        <f t="shared" si="10"/>
        <v>0</v>
      </c>
      <c r="L56" s="97">
        <f t="shared" si="10"/>
        <v>0</v>
      </c>
      <c r="M56" s="97">
        <f>SUM(M57:M68)</f>
        <v>0</v>
      </c>
      <c r="N56" s="97">
        <f t="shared" si="10"/>
        <v>0</v>
      </c>
      <c r="O56" s="98" t="e">
        <f t="shared" si="10"/>
        <v>#REF!</v>
      </c>
      <c r="BO56" s="2"/>
      <c r="BP56" s="2"/>
      <c r="BQ56" s="2"/>
      <c r="BR56" s="2"/>
      <c r="BS56" s="2"/>
      <c r="BT56" s="2"/>
    </row>
    <row r="57" spans="2:15" s="34" customFormat="1" ht="15.75" hidden="1" outlineLevel="1">
      <c r="B57" s="101" t="s">
        <v>151</v>
      </c>
      <c r="C57" s="39">
        <v>0</v>
      </c>
      <c r="D57" s="39">
        <v>0</v>
      </c>
      <c r="E57" s="39">
        <v>0</v>
      </c>
      <c r="F57" s="39" t="e">
        <f>+#REF!</f>
        <v>#REF!</v>
      </c>
      <c r="G57" s="39">
        <v>0</v>
      </c>
      <c r="H57" s="39">
        <v>0</v>
      </c>
      <c r="I57" s="39">
        <v>0</v>
      </c>
      <c r="J57" s="39">
        <v>0</v>
      </c>
      <c r="K57" s="39">
        <v>0</v>
      </c>
      <c r="L57" s="39">
        <v>0</v>
      </c>
      <c r="M57" s="39">
        <v>0</v>
      </c>
      <c r="N57" s="39">
        <v>0</v>
      </c>
      <c r="O57" s="62" t="e">
        <f aca="true" t="shared" si="11" ref="O57:O68">SUM(C57:N57)</f>
        <v>#REF!</v>
      </c>
    </row>
    <row r="58" spans="2:15" s="34" customFormat="1" ht="15.75" hidden="1" outlineLevel="1">
      <c r="B58" s="101" t="s">
        <v>107</v>
      </c>
      <c r="C58" s="39">
        <v>0</v>
      </c>
      <c r="D58" s="39">
        <v>0</v>
      </c>
      <c r="E58" s="39">
        <v>0</v>
      </c>
      <c r="F58" s="39" t="e">
        <f>+#REF!</f>
        <v>#REF!</v>
      </c>
      <c r="G58" s="39">
        <v>0</v>
      </c>
      <c r="H58" s="39" t="e">
        <f>+#REF!</f>
        <v>#REF!</v>
      </c>
      <c r="I58" s="39">
        <v>0</v>
      </c>
      <c r="J58" s="39">
        <v>0</v>
      </c>
      <c r="K58" s="39">
        <v>0</v>
      </c>
      <c r="L58" s="39">
        <v>0</v>
      </c>
      <c r="M58" s="39">
        <v>0</v>
      </c>
      <c r="N58" s="39">
        <v>0</v>
      </c>
      <c r="O58" s="62" t="e">
        <f t="shared" si="11"/>
        <v>#REF!</v>
      </c>
    </row>
    <row r="59" spans="2:15" s="34" customFormat="1" ht="15.75" hidden="1" outlineLevel="1">
      <c r="B59" s="101" t="s">
        <v>75</v>
      </c>
      <c r="C59" s="39">
        <v>0</v>
      </c>
      <c r="D59" s="39">
        <v>0</v>
      </c>
      <c r="E59" s="39">
        <v>0</v>
      </c>
      <c r="F59" s="39" t="e">
        <f>+#REF!</f>
        <v>#REF!</v>
      </c>
      <c r="G59" s="39">
        <v>0</v>
      </c>
      <c r="H59" s="39">
        <v>0</v>
      </c>
      <c r="I59" s="39">
        <v>0</v>
      </c>
      <c r="J59" s="39">
        <v>0</v>
      </c>
      <c r="K59" s="39">
        <v>0</v>
      </c>
      <c r="L59" s="39">
        <v>0</v>
      </c>
      <c r="M59" s="39">
        <v>0</v>
      </c>
      <c r="N59" s="39">
        <v>0</v>
      </c>
      <c r="O59" s="62" t="e">
        <f t="shared" si="11"/>
        <v>#REF!</v>
      </c>
    </row>
    <row r="60" spans="2:15" s="34" customFormat="1" ht="15.75" hidden="1" outlineLevel="1">
      <c r="B60" s="101" t="s">
        <v>105</v>
      </c>
      <c r="C60" s="39">
        <v>0</v>
      </c>
      <c r="D60" s="39">
        <v>0</v>
      </c>
      <c r="E60" s="39">
        <v>0</v>
      </c>
      <c r="F60" s="39" t="e">
        <f>+#REF!</f>
        <v>#REF!</v>
      </c>
      <c r="G60" s="39">
        <v>0</v>
      </c>
      <c r="H60" s="39">
        <v>0</v>
      </c>
      <c r="I60" s="39">
        <v>0</v>
      </c>
      <c r="J60" s="39">
        <v>0</v>
      </c>
      <c r="K60" s="39">
        <v>0</v>
      </c>
      <c r="L60" s="39">
        <v>0</v>
      </c>
      <c r="M60" s="39">
        <v>0</v>
      </c>
      <c r="N60" s="39">
        <v>0</v>
      </c>
      <c r="O60" s="62" t="e">
        <f t="shared" si="11"/>
        <v>#REF!</v>
      </c>
    </row>
    <row r="61" spans="2:15" s="34" customFormat="1" ht="15.75" hidden="1" outlineLevel="1">
      <c r="B61" s="101" t="s">
        <v>173</v>
      </c>
      <c r="C61" s="39">
        <v>0</v>
      </c>
      <c r="D61" s="39">
        <v>0</v>
      </c>
      <c r="E61" s="39">
        <v>0</v>
      </c>
      <c r="F61" s="39" t="e">
        <f>+#REF!</f>
        <v>#REF!</v>
      </c>
      <c r="G61" s="39">
        <v>0</v>
      </c>
      <c r="H61" s="39">
        <v>0</v>
      </c>
      <c r="I61" s="39">
        <v>0</v>
      </c>
      <c r="J61" s="39">
        <v>0</v>
      </c>
      <c r="K61" s="39">
        <v>0</v>
      </c>
      <c r="L61" s="39">
        <v>0</v>
      </c>
      <c r="M61" s="39">
        <v>0</v>
      </c>
      <c r="N61" s="39">
        <v>0</v>
      </c>
      <c r="O61" s="62" t="e">
        <f t="shared" si="11"/>
        <v>#REF!</v>
      </c>
    </row>
    <row r="62" spans="2:15" s="34" customFormat="1" ht="15.75" hidden="1" outlineLevel="1">
      <c r="B62" s="101" t="s">
        <v>125</v>
      </c>
      <c r="C62" s="39">
        <v>0</v>
      </c>
      <c r="D62" s="39">
        <v>0</v>
      </c>
      <c r="E62" s="39">
        <v>0</v>
      </c>
      <c r="F62" s="39">
        <v>0</v>
      </c>
      <c r="G62" s="39" t="e">
        <f>+#REF!</f>
        <v>#REF!</v>
      </c>
      <c r="H62" s="39">
        <v>0</v>
      </c>
      <c r="I62" s="39">
        <v>0</v>
      </c>
      <c r="J62" s="39">
        <v>0</v>
      </c>
      <c r="K62" s="39">
        <v>0</v>
      </c>
      <c r="L62" s="39">
        <v>0</v>
      </c>
      <c r="M62" s="39">
        <v>0</v>
      </c>
      <c r="N62" s="39">
        <v>0</v>
      </c>
      <c r="O62" s="62" t="e">
        <f t="shared" si="11"/>
        <v>#REF!</v>
      </c>
    </row>
    <row r="63" spans="2:15" s="34" customFormat="1" ht="15.75" hidden="1" outlineLevel="1">
      <c r="B63" s="101" t="s">
        <v>148</v>
      </c>
      <c r="C63" s="39">
        <v>0</v>
      </c>
      <c r="D63" s="39">
        <v>0</v>
      </c>
      <c r="E63" s="39">
        <v>0</v>
      </c>
      <c r="F63" s="39">
        <v>0</v>
      </c>
      <c r="G63" s="39" t="e">
        <f>+#REF!</f>
        <v>#REF!</v>
      </c>
      <c r="H63" s="39">
        <v>0</v>
      </c>
      <c r="I63" s="39">
        <v>0</v>
      </c>
      <c r="J63" s="39">
        <v>0</v>
      </c>
      <c r="K63" s="39">
        <v>0</v>
      </c>
      <c r="L63" s="39">
        <v>0</v>
      </c>
      <c r="M63" s="39">
        <v>0</v>
      </c>
      <c r="N63" s="39">
        <v>0</v>
      </c>
      <c r="O63" s="62" t="e">
        <f t="shared" si="11"/>
        <v>#REF!</v>
      </c>
    </row>
    <row r="64" spans="2:15" s="34" customFormat="1" ht="15.75" hidden="1" outlineLevel="1">
      <c r="B64" s="101" t="s">
        <v>90</v>
      </c>
      <c r="C64" s="39">
        <v>0</v>
      </c>
      <c r="D64" s="39">
        <v>0</v>
      </c>
      <c r="E64" s="39">
        <v>0</v>
      </c>
      <c r="F64" s="39">
        <v>0</v>
      </c>
      <c r="G64" s="39" t="e">
        <f>+#REF!</f>
        <v>#REF!</v>
      </c>
      <c r="H64" s="39">
        <v>0</v>
      </c>
      <c r="I64" s="39">
        <v>0</v>
      </c>
      <c r="J64" s="39">
        <v>0</v>
      </c>
      <c r="K64" s="39">
        <v>0</v>
      </c>
      <c r="L64" s="39">
        <v>0</v>
      </c>
      <c r="M64" s="39">
        <v>0</v>
      </c>
      <c r="N64" s="39">
        <v>0</v>
      </c>
      <c r="O64" s="62" t="e">
        <f t="shared" si="11"/>
        <v>#REF!</v>
      </c>
    </row>
    <row r="65" spans="2:15" s="34" customFormat="1" ht="15.75" hidden="1" outlineLevel="1">
      <c r="B65" s="101" t="s">
        <v>126</v>
      </c>
      <c r="C65" s="39">
        <v>0</v>
      </c>
      <c r="D65" s="39">
        <v>0</v>
      </c>
      <c r="E65" s="39">
        <v>0</v>
      </c>
      <c r="F65" s="39">
        <v>0</v>
      </c>
      <c r="G65" s="39" t="e">
        <f>+#REF!</f>
        <v>#REF!</v>
      </c>
      <c r="H65" s="39">
        <v>0</v>
      </c>
      <c r="I65" s="39">
        <v>0</v>
      </c>
      <c r="J65" s="39">
        <v>0</v>
      </c>
      <c r="K65" s="39">
        <v>0</v>
      </c>
      <c r="L65" s="39">
        <v>0</v>
      </c>
      <c r="M65" s="39">
        <v>0</v>
      </c>
      <c r="N65" s="39">
        <v>0</v>
      </c>
      <c r="O65" s="62" t="e">
        <f t="shared" si="11"/>
        <v>#REF!</v>
      </c>
    </row>
    <row r="66" spans="2:15" s="34" customFormat="1" ht="15.75" hidden="1" outlineLevel="1">
      <c r="B66" s="101" t="s">
        <v>75</v>
      </c>
      <c r="C66" s="39">
        <v>0</v>
      </c>
      <c r="D66" s="39">
        <v>0</v>
      </c>
      <c r="E66" s="39">
        <v>0</v>
      </c>
      <c r="F66" s="39">
        <v>0</v>
      </c>
      <c r="G66" s="39" t="e">
        <f>+#REF!</f>
        <v>#REF!</v>
      </c>
      <c r="H66" s="39">
        <v>0</v>
      </c>
      <c r="I66" s="39">
        <v>0</v>
      </c>
      <c r="J66" s="39">
        <v>0</v>
      </c>
      <c r="K66" s="39">
        <v>0</v>
      </c>
      <c r="L66" s="39">
        <v>0</v>
      </c>
      <c r="M66" s="39">
        <v>0</v>
      </c>
      <c r="N66" s="39">
        <v>0</v>
      </c>
      <c r="O66" s="62" t="e">
        <f t="shared" si="11"/>
        <v>#REF!</v>
      </c>
    </row>
    <row r="67" spans="2:15" s="34" customFormat="1" ht="15.75" hidden="1" outlineLevel="1">
      <c r="B67" s="101" t="s">
        <v>155</v>
      </c>
      <c r="C67" s="39">
        <v>0</v>
      </c>
      <c r="D67" s="39">
        <v>0</v>
      </c>
      <c r="E67" s="39">
        <v>0</v>
      </c>
      <c r="F67" s="39">
        <v>0</v>
      </c>
      <c r="G67" s="39">
        <v>0</v>
      </c>
      <c r="H67" s="39" t="e">
        <f>+#REF!</f>
        <v>#REF!</v>
      </c>
      <c r="I67" s="39">
        <v>0</v>
      </c>
      <c r="J67" s="39">
        <v>0</v>
      </c>
      <c r="K67" s="39">
        <v>0</v>
      </c>
      <c r="L67" s="39">
        <v>0</v>
      </c>
      <c r="M67" s="39">
        <v>0</v>
      </c>
      <c r="N67" s="39">
        <v>0</v>
      </c>
      <c r="O67" s="62" t="e">
        <f>SUM(C67:N67)</f>
        <v>#REF!</v>
      </c>
    </row>
    <row r="68" spans="2:15" s="34" customFormat="1" ht="15.75" hidden="1" outlineLevel="1">
      <c r="B68" s="101" t="s">
        <v>153</v>
      </c>
      <c r="C68" s="39">
        <v>0</v>
      </c>
      <c r="D68" s="39">
        <v>0</v>
      </c>
      <c r="E68" s="39">
        <v>0</v>
      </c>
      <c r="F68" s="39">
        <v>0</v>
      </c>
      <c r="G68" s="39">
        <v>0</v>
      </c>
      <c r="H68" s="39" t="e">
        <f>+#REF!</f>
        <v>#REF!</v>
      </c>
      <c r="I68" s="39">
        <v>0</v>
      </c>
      <c r="J68" s="39">
        <v>0</v>
      </c>
      <c r="K68" s="39">
        <v>0</v>
      </c>
      <c r="L68" s="39">
        <v>0</v>
      </c>
      <c r="M68" s="39">
        <v>0</v>
      </c>
      <c r="N68" s="39">
        <v>0</v>
      </c>
      <c r="O68" s="62" t="e">
        <f t="shared" si="11"/>
        <v>#REF!</v>
      </c>
    </row>
    <row r="69" spans="1:72" s="34" customFormat="1" ht="15.75" collapsed="1">
      <c r="A69" s="2"/>
      <c r="B69" s="96" t="s">
        <v>59</v>
      </c>
      <c r="C69" s="97">
        <f aca="true" t="shared" si="12" ref="C69:O69">SUM(C70:C73)</f>
        <v>0</v>
      </c>
      <c r="D69" s="97">
        <f t="shared" si="12"/>
        <v>0</v>
      </c>
      <c r="E69" s="97">
        <f t="shared" si="12"/>
        <v>0</v>
      </c>
      <c r="F69" s="97">
        <f t="shared" si="12"/>
        <v>0</v>
      </c>
      <c r="G69" s="97">
        <f t="shared" si="12"/>
        <v>0</v>
      </c>
      <c r="H69" s="97">
        <f t="shared" si="12"/>
        <v>0</v>
      </c>
      <c r="I69" s="97" t="e">
        <f t="shared" si="12"/>
        <v>#REF!</v>
      </c>
      <c r="J69" s="97">
        <f t="shared" si="12"/>
        <v>0</v>
      </c>
      <c r="K69" s="97">
        <f t="shared" si="12"/>
        <v>0</v>
      </c>
      <c r="L69" s="97">
        <f t="shared" si="12"/>
        <v>0</v>
      </c>
      <c r="M69" s="97">
        <f>SUM(M70:M73)</f>
        <v>0</v>
      </c>
      <c r="N69" s="97">
        <f t="shared" si="12"/>
        <v>0</v>
      </c>
      <c r="O69" s="98" t="e">
        <f t="shared" si="12"/>
        <v>#REF!</v>
      </c>
      <c r="Q69" s="36"/>
      <c r="BO69" s="2"/>
      <c r="BP69" s="2"/>
      <c r="BQ69" s="2"/>
      <c r="BR69" s="2"/>
      <c r="BS69" s="2"/>
      <c r="BT69" s="2"/>
    </row>
    <row r="70" spans="2:15" s="34" customFormat="1" ht="15.75" hidden="1" outlineLevel="1">
      <c r="B70" s="101" t="s">
        <v>62</v>
      </c>
      <c r="C70" s="39">
        <v>0</v>
      </c>
      <c r="D70" s="39">
        <v>0</v>
      </c>
      <c r="E70" s="39">
        <v>0</v>
      </c>
      <c r="F70" s="39">
        <v>0</v>
      </c>
      <c r="G70" s="39">
        <v>0</v>
      </c>
      <c r="H70" s="39">
        <v>0</v>
      </c>
      <c r="I70" s="39" t="e">
        <f>+#REF!</f>
        <v>#REF!</v>
      </c>
      <c r="J70" s="39">
        <v>0</v>
      </c>
      <c r="K70" s="39">
        <v>0</v>
      </c>
      <c r="L70" s="39">
        <v>0</v>
      </c>
      <c r="M70" s="39">
        <v>0</v>
      </c>
      <c r="N70" s="39">
        <v>0</v>
      </c>
      <c r="O70" s="62" t="e">
        <f>SUM(C70:N70)</f>
        <v>#REF!</v>
      </c>
    </row>
    <row r="71" spans="2:15" s="34" customFormat="1" ht="15.75" hidden="1" outlineLevel="1">
      <c r="B71" s="101" t="s">
        <v>63</v>
      </c>
      <c r="C71" s="39">
        <v>0</v>
      </c>
      <c r="D71" s="39">
        <v>0</v>
      </c>
      <c r="E71" s="39">
        <v>0</v>
      </c>
      <c r="F71" s="39">
        <v>0</v>
      </c>
      <c r="G71" s="39">
        <v>0</v>
      </c>
      <c r="H71" s="39">
        <v>0</v>
      </c>
      <c r="I71" s="39" t="e">
        <f>+#REF!</f>
        <v>#REF!</v>
      </c>
      <c r="J71" s="39">
        <v>0</v>
      </c>
      <c r="K71" s="39">
        <v>0</v>
      </c>
      <c r="L71" s="39">
        <v>0</v>
      </c>
      <c r="M71" s="39">
        <v>0</v>
      </c>
      <c r="N71" s="39">
        <v>0</v>
      </c>
      <c r="O71" s="62" t="e">
        <f>SUM(C71:N71)</f>
        <v>#REF!</v>
      </c>
    </row>
    <row r="72" spans="2:15" s="34" customFormat="1" ht="15.75" hidden="1" outlineLevel="1">
      <c r="B72" s="101" t="s">
        <v>64</v>
      </c>
      <c r="C72" s="39">
        <v>0</v>
      </c>
      <c r="D72" s="39">
        <v>0</v>
      </c>
      <c r="E72" s="39">
        <v>0</v>
      </c>
      <c r="F72" s="39">
        <v>0</v>
      </c>
      <c r="G72" s="39">
        <v>0</v>
      </c>
      <c r="H72" s="39">
        <v>0</v>
      </c>
      <c r="I72" s="39" t="e">
        <f>+#REF!</f>
        <v>#REF!</v>
      </c>
      <c r="J72" s="39">
        <v>0</v>
      </c>
      <c r="K72" s="39">
        <v>0</v>
      </c>
      <c r="L72" s="39">
        <v>0</v>
      </c>
      <c r="M72" s="39">
        <v>0</v>
      </c>
      <c r="N72" s="39">
        <v>0</v>
      </c>
      <c r="O72" s="62" t="e">
        <f>SUM(C72:N72)</f>
        <v>#REF!</v>
      </c>
    </row>
    <row r="73" spans="2:15" s="34" customFormat="1" ht="15.75" hidden="1" outlineLevel="1">
      <c r="B73" s="101" t="s">
        <v>112</v>
      </c>
      <c r="C73" s="39">
        <v>0</v>
      </c>
      <c r="D73" s="39">
        <v>0</v>
      </c>
      <c r="E73" s="39">
        <v>0</v>
      </c>
      <c r="F73" s="39">
        <v>0</v>
      </c>
      <c r="G73" s="39">
        <v>0</v>
      </c>
      <c r="H73" s="39">
        <v>0</v>
      </c>
      <c r="I73" s="39" t="e">
        <f>+#REF!</f>
        <v>#REF!</v>
      </c>
      <c r="J73" s="39">
        <v>0</v>
      </c>
      <c r="K73" s="39">
        <v>0</v>
      </c>
      <c r="L73" s="39">
        <v>0</v>
      </c>
      <c r="M73" s="39">
        <v>0</v>
      </c>
      <c r="N73" s="39">
        <v>0</v>
      </c>
      <c r="O73" s="62" t="e">
        <f>SUM(C73:N73)</f>
        <v>#REF!</v>
      </c>
    </row>
    <row r="74" spans="1:72" s="34" customFormat="1" ht="15.75" collapsed="1">
      <c r="A74" s="2"/>
      <c r="B74" s="96" t="s">
        <v>110</v>
      </c>
      <c r="C74" s="97">
        <f aca="true" t="shared" si="13" ref="C74:O74">SUM(C75:C78)</f>
        <v>0</v>
      </c>
      <c r="D74" s="97">
        <f t="shared" si="13"/>
        <v>0</v>
      </c>
      <c r="E74" s="97">
        <f t="shared" si="13"/>
        <v>0</v>
      </c>
      <c r="F74" s="97">
        <f t="shared" si="13"/>
        <v>0</v>
      </c>
      <c r="G74" s="97">
        <f t="shared" si="13"/>
        <v>0</v>
      </c>
      <c r="H74" s="97">
        <f t="shared" si="13"/>
        <v>0</v>
      </c>
      <c r="I74" s="97">
        <f t="shared" si="13"/>
        <v>0</v>
      </c>
      <c r="J74" s="97" t="e">
        <f t="shared" si="13"/>
        <v>#REF!</v>
      </c>
      <c r="K74" s="97">
        <f t="shared" si="13"/>
        <v>0</v>
      </c>
      <c r="L74" s="97">
        <f t="shared" si="13"/>
        <v>0</v>
      </c>
      <c r="M74" s="97">
        <f>SUM(M75:M78)</f>
        <v>0</v>
      </c>
      <c r="N74" s="97">
        <f t="shared" si="13"/>
        <v>0</v>
      </c>
      <c r="O74" s="98" t="e">
        <f t="shared" si="13"/>
        <v>#REF!</v>
      </c>
      <c r="BO74" s="2"/>
      <c r="BP74" s="2"/>
      <c r="BQ74" s="2"/>
      <c r="BR74" s="2"/>
      <c r="BS74" s="2"/>
      <c r="BT74" s="2"/>
    </row>
    <row r="75" spans="2:15" s="34" customFormat="1" ht="15.75" hidden="1" outlineLevel="1">
      <c r="B75" s="101" t="s">
        <v>111</v>
      </c>
      <c r="C75" s="39">
        <v>0</v>
      </c>
      <c r="D75" s="39">
        <v>0</v>
      </c>
      <c r="E75" s="39">
        <v>0</v>
      </c>
      <c r="F75" s="39">
        <v>0</v>
      </c>
      <c r="G75" s="39">
        <v>0</v>
      </c>
      <c r="H75" s="39">
        <v>0</v>
      </c>
      <c r="I75" s="39">
        <v>0</v>
      </c>
      <c r="J75" s="39" t="e">
        <f>+#REF!</f>
        <v>#REF!</v>
      </c>
      <c r="K75" s="39">
        <v>0</v>
      </c>
      <c r="L75" s="39">
        <v>0</v>
      </c>
      <c r="M75" s="39">
        <v>0</v>
      </c>
      <c r="N75" s="39">
        <v>0</v>
      </c>
      <c r="O75" s="62" t="e">
        <f>SUM(C75:N75)</f>
        <v>#REF!</v>
      </c>
    </row>
    <row r="76" spans="2:15" s="34" customFormat="1" ht="15.75" hidden="1" outlineLevel="1">
      <c r="B76" s="101" t="s">
        <v>198</v>
      </c>
      <c r="C76" s="39">
        <v>0</v>
      </c>
      <c r="D76" s="39">
        <v>0</v>
      </c>
      <c r="E76" s="39">
        <v>0</v>
      </c>
      <c r="F76" s="39">
        <v>0</v>
      </c>
      <c r="G76" s="39">
        <v>0</v>
      </c>
      <c r="H76" s="39">
        <v>0</v>
      </c>
      <c r="I76" s="39">
        <v>0</v>
      </c>
      <c r="J76" s="39" t="e">
        <f>+#REF!</f>
        <v>#REF!</v>
      </c>
      <c r="K76" s="39">
        <v>0</v>
      </c>
      <c r="L76" s="39">
        <v>0</v>
      </c>
      <c r="M76" s="39">
        <v>0</v>
      </c>
      <c r="N76" s="39">
        <v>0</v>
      </c>
      <c r="O76" s="62" t="e">
        <f>SUM(C76:N76)</f>
        <v>#REF!</v>
      </c>
    </row>
    <row r="77" spans="2:15" s="34" customFormat="1" ht="15.75" hidden="1" outlineLevel="1">
      <c r="B77" s="101" t="s">
        <v>199</v>
      </c>
      <c r="C77" s="39">
        <v>0</v>
      </c>
      <c r="D77" s="39">
        <v>0</v>
      </c>
      <c r="E77" s="39">
        <v>0</v>
      </c>
      <c r="F77" s="39">
        <v>0</v>
      </c>
      <c r="G77" s="39">
        <v>0</v>
      </c>
      <c r="H77" s="39">
        <v>0</v>
      </c>
      <c r="I77" s="39">
        <v>0</v>
      </c>
      <c r="J77" s="39" t="e">
        <f>+#REF!</f>
        <v>#REF!</v>
      </c>
      <c r="K77" s="39">
        <v>0</v>
      </c>
      <c r="L77" s="39">
        <v>0</v>
      </c>
      <c r="M77" s="39">
        <v>0</v>
      </c>
      <c r="N77" s="39">
        <v>0</v>
      </c>
      <c r="O77" s="62" t="e">
        <f>SUM(C77:N77)</f>
        <v>#REF!</v>
      </c>
    </row>
    <row r="78" spans="2:15" s="34" customFormat="1" ht="15.75" hidden="1" outlineLevel="1">
      <c r="B78" s="101" t="s">
        <v>200</v>
      </c>
      <c r="C78" s="39">
        <v>0</v>
      </c>
      <c r="D78" s="39">
        <v>0</v>
      </c>
      <c r="E78" s="39">
        <v>0</v>
      </c>
      <c r="F78" s="39">
        <v>0</v>
      </c>
      <c r="G78" s="39">
        <v>0</v>
      </c>
      <c r="H78" s="39">
        <v>0</v>
      </c>
      <c r="I78" s="39">
        <v>0</v>
      </c>
      <c r="J78" s="39" t="e">
        <f>+#REF!</f>
        <v>#REF!</v>
      </c>
      <c r="K78" s="39">
        <v>0</v>
      </c>
      <c r="L78" s="39">
        <v>0</v>
      </c>
      <c r="M78" s="39">
        <v>0</v>
      </c>
      <c r="N78" s="39">
        <v>0</v>
      </c>
      <c r="O78" s="62" t="e">
        <f>SUM(C78:N78)</f>
        <v>#REF!</v>
      </c>
    </row>
    <row r="79" spans="2:15" ht="15.75" collapsed="1">
      <c r="B79" s="96" t="s">
        <v>184</v>
      </c>
      <c r="C79" s="97">
        <f>+C80</f>
        <v>0</v>
      </c>
      <c r="D79" s="97">
        <f>+D80</f>
        <v>0</v>
      </c>
      <c r="E79" s="97">
        <f aca="true" t="shared" si="14" ref="E79:N81">+E80</f>
        <v>0</v>
      </c>
      <c r="F79" s="97">
        <f t="shared" si="14"/>
        <v>0</v>
      </c>
      <c r="G79" s="97">
        <f t="shared" si="14"/>
        <v>0</v>
      </c>
      <c r="H79" s="97">
        <f t="shared" si="14"/>
        <v>0</v>
      </c>
      <c r="I79" s="97">
        <f t="shared" si="14"/>
        <v>0</v>
      </c>
      <c r="J79" s="97">
        <f t="shared" si="14"/>
        <v>0</v>
      </c>
      <c r="K79" s="97">
        <f t="shared" si="14"/>
        <v>0</v>
      </c>
      <c r="L79" s="97" t="e">
        <f>+L80</f>
        <v>#REF!</v>
      </c>
      <c r="M79" s="97">
        <f t="shared" si="14"/>
        <v>0</v>
      </c>
      <c r="N79" s="97">
        <f t="shared" si="14"/>
        <v>0</v>
      </c>
      <c r="O79" s="98" t="e">
        <f>+O80</f>
        <v>#REF!</v>
      </c>
    </row>
    <row r="80" spans="2:15" ht="15.75" hidden="1" outlineLevel="1">
      <c r="B80" s="14" t="s">
        <v>129</v>
      </c>
      <c r="C80" s="26">
        <v>0</v>
      </c>
      <c r="D80" s="26">
        <v>0</v>
      </c>
      <c r="E80" s="26">
        <v>0</v>
      </c>
      <c r="F80" s="26">
        <v>0</v>
      </c>
      <c r="G80" s="26">
        <v>0</v>
      </c>
      <c r="H80" s="26">
        <v>0</v>
      </c>
      <c r="I80" s="26">
        <v>0</v>
      </c>
      <c r="J80" s="26">
        <v>0</v>
      </c>
      <c r="K80" s="26">
        <v>0</v>
      </c>
      <c r="L80" s="26" t="e">
        <f>+#REF!</f>
        <v>#REF!</v>
      </c>
      <c r="M80" s="26">
        <v>0</v>
      </c>
      <c r="N80" s="26">
        <v>0</v>
      </c>
      <c r="O80" s="61" t="e">
        <f>SUM(C80:N80)</f>
        <v>#REF!</v>
      </c>
    </row>
    <row r="81" spans="2:15" ht="16.5" collapsed="1" thickBot="1">
      <c r="B81" s="165" t="s">
        <v>220</v>
      </c>
      <c r="C81" s="97">
        <f>+C82</f>
        <v>0</v>
      </c>
      <c r="D81" s="97">
        <f>+D82</f>
        <v>0</v>
      </c>
      <c r="E81" s="97">
        <f t="shared" si="14"/>
        <v>0</v>
      </c>
      <c r="F81" s="97">
        <f t="shared" si="14"/>
        <v>0</v>
      </c>
      <c r="G81" s="97">
        <f t="shared" si="14"/>
        <v>0</v>
      </c>
      <c r="H81" s="97">
        <f t="shared" si="14"/>
        <v>0</v>
      </c>
      <c r="I81" s="97">
        <f t="shared" si="14"/>
        <v>0</v>
      </c>
      <c r="J81" s="97">
        <f t="shared" si="14"/>
        <v>0</v>
      </c>
      <c r="K81" s="97">
        <f t="shared" si="14"/>
        <v>0</v>
      </c>
      <c r="L81" s="97">
        <f>+L82</f>
        <v>0</v>
      </c>
      <c r="M81" s="97" t="e">
        <f t="shared" si="14"/>
        <v>#REF!</v>
      </c>
      <c r="N81" s="97">
        <f t="shared" si="14"/>
        <v>0</v>
      </c>
      <c r="O81" s="98" t="e">
        <f>+O82</f>
        <v>#REF!</v>
      </c>
    </row>
    <row r="82" spans="2:15" ht="16.5" hidden="1" outlineLevel="1" thickBot="1">
      <c r="B82" s="14" t="s">
        <v>219</v>
      </c>
      <c r="C82" s="26">
        <v>0</v>
      </c>
      <c r="D82" s="26">
        <v>0</v>
      </c>
      <c r="E82" s="26">
        <v>0</v>
      </c>
      <c r="F82" s="26">
        <v>0</v>
      </c>
      <c r="G82" s="26">
        <v>0</v>
      </c>
      <c r="H82" s="26">
        <v>0</v>
      </c>
      <c r="I82" s="26">
        <v>0</v>
      </c>
      <c r="J82" s="26">
        <v>0</v>
      </c>
      <c r="K82" s="26">
        <v>0</v>
      </c>
      <c r="L82" s="26">
        <v>0</v>
      </c>
      <c r="M82" s="26" t="e">
        <f>+#REF!</f>
        <v>#REF!</v>
      </c>
      <c r="N82" s="26">
        <v>0</v>
      </c>
      <c r="O82" s="61" t="e">
        <f>SUM(C82:N82)</f>
        <v>#REF!</v>
      </c>
    </row>
    <row r="83" spans="2:17" ht="16.5" collapsed="1" thickBot="1">
      <c r="B83" s="99" t="s">
        <v>84</v>
      </c>
      <c r="C83" s="21">
        <f aca="true" t="shared" si="15" ref="C83:O83">+C20+C37+C53+C55</f>
        <v>0</v>
      </c>
      <c r="D83" s="21" t="e">
        <f t="shared" si="15"/>
        <v>#REF!</v>
      </c>
      <c r="E83" s="21" t="e">
        <f t="shared" si="15"/>
        <v>#REF!</v>
      </c>
      <c r="F83" s="21" t="e">
        <f t="shared" si="15"/>
        <v>#REF!</v>
      </c>
      <c r="G83" s="21" t="e">
        <f t="shared" si="15"/>
        <v>#REF!</v>
      </c>
      <c r="H83" s="21" t="e">
        <f t="shared" si="15"/>
        <v>#REF!</v>
      </c>
      <c r="I83" s="21" t="e">
        <f t="shared" si="15"/>
        <v>#REF!</v>
      </c>
      <c r="J83" s="21" t="e">
        <f t="shared" si="15"/>
        <v>#REF!</v>
      </c>
      <c r="K83" s="21" t="e">
        <f t="shared" si="15"/>
        <v>#REF!</v>
      </c>
      <c r="L83" s="21" t="e">
        <f t="shared" si="15"/>
        <v>#REF!</v>
      </c>
      <c r="M83" s="21" t="e">
        <f t="shared" si="15"/>
        <v>#REF!</v>
      </c>
      <c r="N83" s="21" t="e">
        <f t="shared" si="15"/>
        <v>#REF!</v>
      </c>
      <c r="O83" s="100" t="e">
        <f t="shared" si="15"/>
        <v>#REF!</v>
      </c>
      <c r="Q83" s="36"/>
    </row>
    <row r="84" spans="1:66" s="1" customFormat="1" ht="15.7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row>
    <row r="85" spans="2:66" s="103" customFormat="1" ht="15.75">
      <c r="B85" s="103" t="s">
        <v>213</v>
      </c>
      <c r="D85" s="103" t="e">
        <f>+#REF!</f>
        <v>#REF!</v>
      </c>
      <c r="E85" s="103" t="e">
        <f>+#REF!</f>
        <v>#REF!</v>
      </c>
      <c r="F85" s="103" t="e">
        <f>+#REF!</f>
        <v>#REF!</v>
      </c>
      <c r="G85" s="103" t="e">
        <f>+#REF!</f>
        <v>#REF!</v>
      </c>
      <c r="H85" s="103" t="e">
        <f>+#REF!</f>
        <v>#REF!</v>
      </c>
      <c r="I85" s="103" t="e">
        <f>+#REF!</f>
        <v>#REF!</v>
      </c>
      <c r="J85" s="103" t="e">
        <f>+#REF!</f>
        <v>#REF!</v>
      </c>
      <c r="K85" s="103" t="e">
        <f>+#REF!</f>
        <v>#REF!</v>
      </c>
      <c r="L85" s="103" t="e">
        <f>+#REF!</f>
        <v>#REF!</v>
      </c>
      <c r="M85" s="103">
        <v>1</v>
      </c>
      <c r="N85" s="103" t="e">
        <f>+#REF!</f>
        <v>#REF!</v>
      </c>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104"/>
      <c r="AY85" s="104"/>
      <c r="AZ85" s="104"/>
      <c r="BA85" s="104"/>
      <c r="BB85" s="104"/>
      <c r="BC85" s="104"/>
      <c r="BD85" s="104"/>
      <c r="BE85" s="104"/>
      <c r="BF85" s="104"/>
      <c r="BG85" s="104"/>
      <c r="BH85" s="104"/>
      <c r="BI85" s="104"/>
      <c r="BJ85" s="104"/>
      <c r="BK85" s="104"/>
      <c r="BL85" s="104"/>
      <c r="BM85" s="104"/>
      <c r="BN85" s="104"/>
    </row>
    <row r="86" spans="16:66" s="103" customFormat="1" ht="15.75">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row>
    <row r="87" spans="2:66" s="103" customFormat="1" ht="15.75">
      <c r="B87" s="138" t="s">
        <v>209</v>
      </c>
      <c r="D87" s="103" t="e">
        <f>+D21/$O$83</f>
        <v>#REF!</v>
      </c>
      <c r="E87" s="103" t="e">
        <f aca="true" t="shared" si="16" ref="E87:N87">+E21/$O$83</f>
        <v>#REF!</v>
      </c>
      <c r="F87" s="103" t="e">
        <f t="shared" si="16"/>
        <v>#REF!</v>
      </c>
      <c r="G87" s="103" t="e">
        <f t="shared" si="16"/>
        <v>#REF!</v>
      </c>
      <c r="H87" s="103" t="e">
        <f t="shared" si="16"/>
        <v>#REF!</v>
      </c>
      <c r="I87" s="103" t="e">
        <f t="shared" si="16"/>
        <v>#REF!</v>
      </c>
      <c r="J87" s="103" t="e">
        <f t="shared" si="16"/>
        <v>#REF!</v>
      </c>
      <c r="K87" s="103" t="e">
        <f t="shared" si="16"/>
        <v>#REF!</v>
      </c>
      <c r="L87" s="103" t="e">
        <f t="shared" si="16"/>
        <v>#REF!</v>
      </c>
      <c r="M87" s="103" t="e">
        <f>+M21/$O$83</f>
        <v>#REF!</v>
      </c>
      <c r="N87" s="103" t="e">
        <f t="shared" si="16"/>
        <v>#REF!</v>
      </c>
      <c r="O87" s="103" t="e">
        <f>+O21/O83</f>
        <v>#REF!</v>
      </c>
      <c r="P87" s="139"/>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104"/>
      <c r="AY87" s="104"/>
      <c r="AZ87" s="104"/>
      <c r="BA87" s="104"/>
      <c r="BB87" s="104"/>
      <c r="BC87" s="104"/>
      <c r="BD87" s="104"/>
      <c r="BE87" s="104"/>
      <c r="BF87" s="104"/>
      <c r="BG87" s="104"/>
      <c r="BH87" s="104"/>
      <c r="BI87" s="104"/>
      <c r="BJ87" s="104"/>
      <c r="BK87" s="104"/>
      <c r="BL87" s="104"/>
      <c r="BM87" s="104"/>
      <c r="BN87" s="104"/>
    </row>
    <row r="88" spans="2:66" s="103" customFormat="1" ht="15.75">
      <c r="B88" s="138"/>
      <c r="P88" s="139"/>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104"/>
      <c r="AY88" s="104"/>
      <c r="AZ88" s="104"/>
      <c r="BA88" s="104"/>
      <c r="BB88" s="104"/>
      <c r="BC88" s="104"/>
      <c r="BD88" s="104"/>
      <c r="BE88" s="104"/>
      <c r="BF88" s="104"/>
      <c r="BG88" s="104"/>
      <c r="BH88" s="104"/>
      <c r="BI88" s="104"/>
      <c r="BJ88" s="104"/>
      <c r="BK88" s="104"/>
      <c r="BL88" s="104"/>
      <c r="BM88" s="104"/>
      <c r="BN88" s="104"/>
    </row>
    <row r="89" spans="2:66" s="103" customFormat="1" ht="15.75">
      <c r="B89" s="138"/>
      <c r="K89" s="300" t="s">
        <v>210</v>
      </c>
      <c r="L89" s="300"/>
      <c r="M89" s="300"/>
      <c r="N89" s="300"/>
      <c r="O89" s="103" t="e">
        <f>+'Solicitudes 2024'!#REF!</f>
        <v>#REF!</v>
      </c>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104"/>
      <c r="AY89" s="104"/>
      <c r="AZ89" s="104"/>
      <c r="BA89" s="104"/>
      <c r="BB89" s="104"/>
      <c r="BC89" s="104"/>
      <c r="BD89" s="104"/>
      <c r="BE89" s="104"/>
      <c r="BF89" s="104"/>
      <c r="BG89" s="104"/>
      <c r="BH89" s="104"/>
      <c r="BI89" s="104"/>
      <c r="BJ89" s="104"/>
      <c r="BK89" s="104"/>
      <c r="BL89" s="104"/>
      <c r="BM89" s="104"/>
      <c r="BN89" s="104"/>
    </row>
    <row r="90" spans="2:66" s="103" customFormat="1" ht="15.75">
      <c r="B90" s="138"/>
      <c r="K90" s="300" t="s">
        <v>211</v>
      </c>
      <c r="L90" s="300"/>
      <c r="M90" s="300"/>
      <c r="N90" s="300"/>
      <c r="O90" s="103" t="e">
        <f>+'Solicitudes 2024'!#REF!</f>
        <v>#REF!</v>
      </c>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4"/>
      <c r="AY90" s="104"/>
      <c r="AZ90" s="104"/>
      <c r="BA90" s="104"/>
      <c r="BB90" s="104"/>
      <c r="BC90" s="104"/>
      <c r="BD90" s="104"/>
      <c r="BE90" s="104"/>
      <c r="BF90" s="104"/>
      <c r="BG90" s="104"/>
      <c r="BH90" s="104"/>
      <c r="BI90" s="104"/>
      <c r="BJ90" s="104"/>
      <c r="BK90" s="104"/>
      <c r="BL90" s="104"/>
      <c r="BM90" s="104"/>
      <c r="BN90" s="104"/>
    </row>
    <row r="91" spans="2:66" s="103" customFormat="1" ht="15.75">
      <c r="B91" s="138"/>
      <c r="K91" s="300" t="s">
        <v>212</v>
      </c>
      <c r="L91" s="300"/>
      <c r="M91" s="300"/>
      <c r="N91" s="300"/>
      <c r="O91" s="103" t="e">
        <f>+'Solicitudes 2024'!#REF!</f>
        <v>#REF!</v>
      </c>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c r="AU91" s="104"/>
      <c r="AV91" s="104"/>
      <c r="AW91" s="104"/>
      <c r="AX91" s="104"/>
      <c r="AY91" s="104"/>
      <c r="AZ91" s="104"/>
      <c r="BA91" s="104"/>
      <c r="BB91" s="104"/>
      <c r="BC91" s="104"/>
      <c r="BD91" s="104"/>
      <c r="BE91" s="104"/>
      <c r="BF91" s="104"/>
      <c r="BG91" s="104"/>
      <c r="BH91" s="104"/>
      <c r="BI91" s="104"/>
      <c r="BJ91" s="104"/>
      <c r="BK91" s="104"/>
      <c r="BL91" s="104"/>
      <c r="BM91" s="104"/>
      <c r="BN91" s="104"/>
    </row>
    <row r="92" spans="2:66" s="103" customFormat="1" ht="15.75">
      <c r="B92" s="138"/>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4"/>
      <c r="AY92" s="104"/>
      <c r="AZ92" s="104"/>
      <c r="BA92" s="104"/>
      <c r="BB92" s="104"/>
      <c r="BC92" s="104"/>
      <c r="BD92" s="104"/>
      <c r="BE92" s="104"/>
      <c r="BF92" s="104"/>
      <c r="BG92" s="104"/>
      <c r="BH92" s="104"/>
      <c r="BI92" s="104"/>
      <c r="BJ92" s="104"/>
      <c r="BK92" s="104"/>
      <c r="BL92" s="104"/>
      <c r="BM92" s="104"/>
      <c r="BN92" s="104"/>
    </row>
    <row r="93" spans="2:17" ht="15.75">
      <c r="B93" s="301" t="s">
        <v>187</v>
      </c>
      <c r="C93" s="301"/>
      <c r="D93" s="301"/>
      <c r="E93" s="301"/>
      <c r="F93" s="301"/>
      <c r="G93" s="301"/>
      <c r="H93" s="301"/>
      <c r="I93" s="301"/>
      <c r="J93" s="301"/>
      <c r="K93" s="301"/>
      <c r="L93" s="301"/>
      <c r="M93" s="301"/>
      <c r="N93" s="301"/>
      <c r="O93" s="105" t="e">
        <f>+O17-O83</f>
        <v>#REF!</v>
      </c>
      <c r="P93" s="2"/>
      <c r="Q93" s="2"/>
    </row>
    <row r="94" spans="2:15" ht="15.75">
      <c r="B94" s="301"/>
      <c r="C94" s="301"/>
      <c r="D94" s="301"/>
      <c r="E94" s="301"/>
      <c r="F94" s="301"/>
      <c r="G94" s="301"/>
      <c r="H94" s="301"/>
      <c r="I94" s="301"/>
      <c r="J94" s="301"/>
      <c r="K94" s="301"/>
      <c r="L94" s="301"/>
      <c r="M94" s="301"/>
      <c r="N94" s="301"/>
      <c r="O94" s="105"/>
    </row>
    <row r="95" spans="2:15" ht="15.75">
      <c r="B95" s="302" t="s">
        <v>188</v>
      </c>
      <c r="D95" s="1" t="s">
        <v>131</v>
      </c>
      <c r="E95" s="1" t="s">
        <v>87</v>
      </c>
      <c r="F95" s="1" t="s">
        <v>178</v>
      </c>
      <c r="G95" s="132" t="s">
        <v>197</v>
      </c>
      <c r="H95" s="132" t="s">
        <v>174</v>
      </c>
      <c r="I95" s="1" t="s">
        <v>176</v>
      </c>
      <c r="J95" s="1" t="s">
        <v>177</v>
      </c>
      <c r="K95" s="1" t="s">
        <v>136</v>
      </c>
      <c r="L95" s="1" t="s">
        <v>201</v>
      </c>
      <c r="O95" s="2"/>
    </row>
    <row r="96" spans="2:12" ht="15.75">
      <c r="B96" s="302"/>
      <c r="D96" s="132" t="s">
        <v>207</v>
      </c>
      <c r="E96" s="1" t="s">
        <v>106</v>
      </c>
      <c r="F96" s="1" t="s">
        <v>133</v>
      </c>
      <c r="G96" s="1" t="s">
        <v>94</v>
      </c>
      <c r="H96" s="132" t="s">
        <v>193</v>
      </c>
      <c r="I96" s="132" t="s">
        <v>170</v>
      </c>
      <c r="J96" s="1" t="s">
        <v>150</v>
      </c>
      <c r="K96" s="1" t="s">
        <v>137</v>
      </c>
      <c r="L96" s="1" t="s">
        <v>202</v>
      </c>
    </row>
    <row r="97" spans="2:12" ht="15.75">
      <c r="B97" s="302"/>
      <c r="D97" s="1" t="s">
        <v>135</v>
      </c>
      <c r="E97" s="1" t="s">
        <v>119</v>
      </c>
      <c r="F97" s="1" t="s">
        <v>134</v>
      </c>
      <c r="G97" s="1" t="s">
        <v>94</v>
      </c>
      <c r="H97" s="132" t="s">
        <v>195</v>
      </c>
      <c r="I97" s="1" t="s">
        <v>138</v>
      </c>
      <c r="J97" s="1" t="s">
        <v>96</v>
      </c>
      <c r="K97" s="131">
        <v>2</v>
      </c>
      <c r="L97" s="1" t="s">
        <v>203</v>
      </c>
    </row>
    <row r="98" spans="2:12" ht="15.75">
      <c r="B98" s="302"/>
      <c r="D98" s="1" t="s">
        <v>108</v>
      </c>
      <c r="E98" s="1" t="s">
        <v>98</v>
      </c>
      <c r="F98" s="1" t="s">
        <v>57</v>
      </c>
      <c r="G98" s="1" t="s">
        <v>94</v>
      </c>
      <c r="H98" s="132" t="s">
        <v>196</v>
      </c>
      <c r="I98" s="131">
        <v>3</v>
      </c>
      <c r="J98" s="1" t="s">
        <v>109</v>
      </c>
      <c r="K98" s="1">
        <v>0</v>
      </c>
      <c r="L98" s="1" t="s">
        <v>204</v>
      </c>
    </row>
    <row r="99" spans="2:12" ht="15.75">
      <c r="B99" s="302"/>
      <c r="D99" s="1" t="s">
        <v>108</v>
      </c>
      <c r="E99" s="1" t="s">
        <v>98</v>
      </c>
      <c r="F99" s="1" t="s">
        <v>149</v>
      </c>
      <c r="G99" s="131">
        <v>4</v>
      </c>
      <c r="H99" s="132" t="s">
        <v>175</v>
      </c>
      <c r="I99" s="1">
        <v>0</v>
      </c>
      <c r="J99" s="132" t="s">
        <v>172</v>
      </c>
      <c r="K99" s="1">
        <v>0</v>
      </c>
      <c r="L99" s="132" t="s">
        <v>205</v>
      </c>
    </row>
    <row r="100" spans="2:66" s="32" customFormat="1" ht="15.75">
      <c r="B100" s="302"/>
      <c r="C100" s="24"/>
      <c r="D100" s="131" t="s">
        <v>208</v>
      </c>
      <c r="E100" s="1" t="s">
        <v>132</v>
      </c>
      <c r="F100" s="1" t="s">
        <v>214</v>
      </c>
      <c r="G100" s="1"/>
      <c r="H100" s="131" t="s">
        <v>208</v>
      </c>
      <c r="I100" s="1"/>
      <c r="J100" s="131">
        <v>5</v>
      </c>
      <c r="K100" s="24"/>
      <c r="L100" s="132" t="s">
        <v>206</v>
      </c>
      <c r="M100" s="24"/>
      <c r="N100" s="24"/>
      <c r="O100" s="6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row>
    <row r="101" spans="2:66" s="32" customFormat="1" ht="15.75">
      <c r="B101" s="302"/>
      <c r="C101" s="24"/>
      <c r="D101" s="24"/>
      <c r="E101" s="1" t="s">
        <v>81</v>
      </c>
      <c r="F101" s="1" t="s">
        <v>97</v>
      </c>
      <c r="G101" s="1"/>
      <c r="I101" s="1"/>
      <c r="J101" s="1"/>
      <c r="K101" s="24"/>
      <c r="L101" s="131" t="s">
        <v>194</v>
      </c>
      <c r="M101" s="24"/>
      <c r="N101" s="24"/>
      <c r="O101" s="6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row>
    <row r="102" spans="2:7" ht="15.75">
      <c r="B102" s="302"/>
      <c r="E102" s="1" t="s">
        <v>58</v>
      </c>
      <c r="F102" s="1" t="s">
        <v>179</v>
      </c>
      <c r="G102" s="1">
        <v>0</v>
      </c>
    </row>
    <row r="103" spans="2:17" ht="15.75">
      <c r="B103" s="302"/>
      <c r="E103" s="131">
        <v>17</v>
      </c>
      <c r="F103" s="131">
        <v>27</v>
      </c>
      <c r="I103" s="1" t="s">
        <v>50</v>
      </c>
      <c r="J103" s="1" t="e">
        <f>+O50</f>
        <v>#REF!</v>
      </c>
      <c r="L103" s="106">
        <f>+D100+E103+F103+G99+H100+I98+J100+K97+L101</f>
        <v>74</v>
      </c>
      <c r="M103" s="34"/>
      <c r="N103" s="34"/>
      <c r="O103" s="34"/>
      <c r="P103" s="2"/>
      <c r="Q103" s="2"/>
    </row>
    <row r="104" spans="2:17" ht="15.75">
      <c r="B104" s="141"/>
      <c r="F104" s="2"/>
      <c r="I104" s="1" t="s">
        <v>185</v>
      </c>
      <c r="J104" s="1" t="e">
        <f>+O49</f>
        <v>#REF!</v>
      </c>
      <c r="L104" s="58" t="s">
        <v>191</v>
      </c>
      <c r="M104" s="140"/>
      <c r="N104" s="140">
        <f>(L103-63)/63</f>
        <v>0.1746031746031746</v>
      </c>
      <c r="O104" s="34" t="s">
        <v>189</v>
      </c>
      <c r="P104" s="2"/>
      <c r="Q104" s="2"/>
    </row>
    <row r="105" spans="2:17" ht="15.75">
      <c r="B105" s="141"/>
      <c r="F105" s="2"/>
      <c r="I105" s="1" t="s">
        <v>186</v>
      </c>
      <c r="J105" s="102" t="e">
        <f>+O54</f>
        <v>#REF!</v>
      </c>
      <c r="L105" s="58" t="s">
        <v>192</v>
      </c>
      <c r="M105" s="34"/>
      <c r="N105" s="34"/>
      <c r="O105" s="34" t="s">
        <v>190</v>
      </c>
      <c r="P105" s="2"/>
      <c r="Q105" s="2"/>
    </row>
    <row r="106" spans="2:10" ht="15.75">
      <c r="B106" s="141"/>
      <c r="E106" s="2"/>
      <c r="J106" s="106" t="e">
        <f>SUM(J103:J105)</f>
        <v>#REF!</v>
      </c>
    </row>
    <row r="107" spans="2:5" ht="15.75">
      <c r="B107" s="141"/>
      <c r="E107" s="2"/>
    </row>
    <row r="108" spans="2:11" ht="15.75">
      <c r="B108" s="141"/>
      <c r="E108" s="2"/>
      <c r="J108" s="2"/>
      <c r="K108" s="2"/>
    </row>
    <row r="109" spans="2:11" ht="15.75">
      <c r="B109" s="141"/>
      <c r="E109" s="2"/>
      <c r="J109" s="2"/>
      <c r="K109" s="2"/>
    </row>
    <row r="110" spans="2:14" ht="15.75">
      <c r="B110" s="141"/>
      <c r="E110" s="2"/>
      <c r="J110" s="2"/>
      <c r="K110" s="2"/>
      <c r="L110" s="2"/>
      <c r="M110" s="2"/>
      <c r="N110" s="2"/>
    </row>
    <row r="111" spans="2:14" ht="15.75">
      <c r="B111" s="141"/>
      <c r="E111" s="2"/>
      <c r="J111" s="2"/>
      <c r="K111" s="2"/>
      <c r="L111" s="2"/>
      <c r="M111" s="2"/>
      <c r="N111" s="2"/>
    </row>
    <row r="112" spans="2:14" ht="15.75">
      <c r="B112" s="141"/>
      <c r="E112" s="2"/>
      <c r="L112" s="2"/>
      <c r="M112" s="2"/>
      <c r="N112" s="2"/>
    </row>
    <row r="113" spans="2:14" ht="15.75">
      <c r="B113" s="141"/>
      <c r="L113" s="2"/>
      <c r="M113" s="2"/>
      <c r="N113" s="2"/>
    </row>
    <row r="114" ht="15.75">
      <c r="B114" s="141"/>
    </row>
    <row r="115" ht="15.75">
      <c r="B115" s="141"/>
    </row>
    <row r="116" ht="15.75">
      <c r="B116" s="141"/>
    </row>
    <row r="117" ht="15.75">
      <c r="B117" s="141"/>
    </row>
    <row r="118" ht="15.75">
      <c r="B118" s="141"/>
    </row>
    <row r="119" ht="15.75">
      <c r="B119" s="141"/>
    </row>
    <row r="120" ht="15.75">
      <c r="B120" s="141"/>
    </row>
    <row r="121" spans="2:6" ht="15.75">
      <c r="B121" s="141"/>
      <c r="F121" s="2"/>
    </row>
    <row r="122" spans="2:6" ht="15.75">
      <c r="B122" s="141"/>
      <c r="F122" s="2"/>
    </row>
  </sheetData>
  <sheetProtection/>
  <mergeCells count="10">
    <mergeCell ref="K91:N91"/>
    <mergeCell ref="B94:N94"/>
    <mergeCell ref="B95:B103"/>
    <mergeCell ref="B2:O2"/>
    <mergeCell ref="B3:O3"/>
    <mergeCell ref="B4:O4"/>
    <mergeCell ref="B5:O5"/>
    <mergeCell ref="B93:N93"/>
    <mergeCell ref="K89:N89"/>
    <mergeCell ref="K90:N90"/>
  </mergeCells>
  <printOptions/>
  <pageMargins left="0.1968503937007874" right="0.1968503937007874" top="0.3937007874015748" bottom="0.1968503937007874" header="0.31496062992125984" footer="0.31496062992125984"/>
  <pageSetup horizontalDpi="600" verticalDpi="600" orientation="portrait" scale="55" r:id="rId1"/>
</worksheet>
</file>

<file path=xl/worksheets/sheet2.xml><?xml version="1.0" encoding="utf-8"?>
<worksheet xmlns="http://schemas.openxmlformats.org/spreadsheetml/2006/main" xmlns:r="http://schemas.openxmlformats.org/officeDocument/2006/relationships">
  <sheetPr>
    <tabColor rgb="FF71336C"/>
  </sheetPr>
  <dimension ref="A1:AB145"/>
  <sheetViews>
    <sheetView tabSelected="1" zoomScale="80" zoomScaleNormal="80" zoomScalePageLayoutView="0" workbookViewId="0" topLeftCell="A1">
      <selection activeCell="S22" sqref="S22:T22"/>
    </sheetView>
  </sheetViews>
  <sheetFormatPr defaultColWidth="9.140625" defaultRowHeight="15"/>
  <cols>
    <col min="1" max="1" width="5.421875" style="34" customWidth="1"/>
    <col min="2" max="2" width="42.7109375" style="34" customWidth="1"/>
    <col min="3" max="9" width="20.28125" style="33" customWidth="1"/>
    <col min="10" max="14" width="20.28125" style="33" hidden="1" customWidth="1"/>
    <col min="15" max="15" width="20.28125" style="33" customWidth="1"/>
    <col min="16" max="16" width="12.7109375" style="33" customWidth="1"/>
    <col min="17" max="20" width="21.140625" style="33" customWidth="1"/>
    <col min="21" max="21" width="20.28125" style="33" customWidth="1"/>
    <col min="22" max="22" width="19.00390625" style="33" customWidth="1"/>
    <col min="23" max="23" width="17.140625" style="33" customWidth="1"/>
    <col min="24" max="24" width="14.57421875" style="254" customWidth="1"/>
    <col min="25" max="25" width="14.28125" style="34" customWidth="1"/>
    <col min="26" max="26" width="24.00390625" style="34" customWidth="1"/>
    <col min="27" max="27" width="19.421875" style="34" bestFit="1" customWidth="1"/>
    <col min="28" max="28" width="17.8515625" style="34" bestFit="1" customWidth="1"/>
    <col min="29" max="16384" width="9.140625" style="34" customWidth="1"/>
  </cols>
  <sheetData>
    <row r="1" ht="15.75">
      <c r="A1" s="234"/>
    </row>
    <row r="2" spans="1:24" s="2" customFormat="1" ht="15.75">
      <c r="A2" s="43"/>
      <c r="B2" s="303" t="s">
        <v>12</v>
      </c>
      <c r="C2" s="303"/>
      <c r="D2" s="303"/>
      <c r="E2" s="303"/>
      <c r="F2" s="303"/>
      <c r="G2" s="303"/>
      <c r="H2" s="303"/>
      <c r="I2" s="303"/>
      <c r="J2" s="303"/>
      <c r="K2" s="303"/>
      <c r="L2" s="303"/>
      <c r="M2" s="303"/>
      <c r="N2" s="303"/>
      <c r="O2" s="303"/>
      <c r="P2" s="303"/>
      <c r="Q2" s="303"/>
      <c r="R2" s="303"/>
      <c r="S2" s="303"/>
      <c r="T2" s="303"/>
      <c r="U2" s="303"/>
      <c r="V2" s="303"/>
      <c r="W2" s="303"/>
      <c r="X2" s="303"/>
    </row>
    <row r="3" spans="1:24" s="2" customFormat="1" ht="15.75">
      <c r="A3" s="43"/>
      <c r="B3" s="303" t="s">
        <v>13</v>
      </c>
      <c r="C3" s="303"/>
      <c r="D3" s="303"/>
      <c r="E3" s="303"/>
      <c r="F3" s="303"/>
      <c r="G3" s="303"/>
      <c r="H3" s="303"/>
      <c r="I3" s="303"/>
      <c r="J3" s="303"/>
      <c r="K3" s="303"/>
      <c r="L3" s="303"/>
      <c r="M3" s="303"/>
      <c r="N3" s="303"/>
      <c r="O3" s="303"/>
      <c r="P3" s="303"/>
      <c r="Q3" s="303"/>
      <c r="R3" s="303"/>
      <c r="S3" s="303"/>
      <c r="T3" s="303"/>
      <c r="U3" s="303"/>
      <c r="V3" s="303"/>
      <c r="W3" s="303"/>
      <c r="X3" s="303"/>
    </row>
    <row r="4" spans="1:24" s="2" customFormat="1" ht="15.75">
      <c r="A4" s="43"/>
      <c r="B4" s="303" t="s">
        <v>165</v>
      </c>
      <c r="C4" s="303"/>
      <c r="D4" s="303"/>
      <c r="E4" s="303"/>
      <c r="F4" s="303"/>
      <c r="G4" s="303"/>
      <c r="H4" s="303"/>
      <c r="I4" s="303"/>
      <c r="J4" s="303"/>
      <c r="K4" s="303"/>
      <c r="L4" s="303"/>
      <c r="M4" s="303"/>
      <c r="N4" s="303"/>
      <c r="O4" s="303"/>
      <c r="P4" s="303"/>
      <c r="Q4" s="303"/>
      <c r="R4" s="303"/>
      <c r="S4" s="303"/>
      <c r="T4" s="303"/>
      <c r="U4" s="303"/>
      <c r="V4" s="303"/>
      <c r="W4" s="303"/>
      <c r="X4" s="303"/>
    </row>
    <row r="5" spans="1:24" s="2" customFormat="1" ht="15.75">
      <c r="A5" s="43"/>
      <c r="B5" s="303" t="s">
        <v>14</v>
      </c>
      <c r="C5" s="303"/>
      <c r="D5" s="303"/>
      <c r="E5" s="303"/>
      <c r="F5" s="303"/>
      <c r="G5" s="303"/>
      <c r="H5" s="303"/>
      <c r="I5" s="303"/>
      <c r="J5" s="303"/>
      <c r="K5" s="303"/>
      <c r="L5" s="303"/>
      <c r="M5" s="303"/>
      <c r="N5" s="303"/>
      <c r="O5" s="303"/>
      <c r="P5" s="303"/>
      <c r="Q5" s="303"/>
      <c r="R5" s="303"/>
      <c r="S5" s="303"/>
      <c r="T5" s="303"/>
      <c r="U5" s="303"/>
      <c r="V5" s="303"/>
      <c r="W5" s="303"/>
      <c r="X5" s="303"/>
    </row>
    <row r="6" spans="1:24" s="2" customFormat="1" ht="16.5" thickBot="1">
      <c r="A6" s="43"/>
      <c r="B6" s="41"/>
      <c r="C6" s="3"/>
      <c r="D6" s="3"/>
      <c r="E6" s="3"/>
      <c r="F6" s="3"/>
      <c r="G6" s="3"/>
      <c r="H6" s="3"/>
      <c r="I6" s="3"/>
      <c r="J6" s="3"/>
      <c r="K6" s="3"/>
      <c r="L6" s="3"/>
      <c r="M6" s="3"/>
      <c r="N6" s="3"/>
      <c r="O6" s="3"/>
      <c r="P6" s="33"/>
      <c r="Q6" s="1"/>
      <c r="R6" s="1"/>
      <c r="S6" s="1"/>
      <c r="T6" s="1"/>
      <c r="U6" s="1"/>
      <c r="V6" s="1"/>
      <c r="W6" s="1"/>
      <c r="X6" s="257"/>
    </row>
    <row r="7" spans="2:24" s="2" customFormat="1" ht="15.75">
      <c r="B7" s="305" t="s">
        <v>15</v>
      </c>
      <c r="C7" s="251" t="s">
        <v>243</v>
      </c>
      <c r="D7" s="251" t="s">
        <v>256</v>
      </c>
      <c r="E7" s="251" t="s">
        <v>254</v>
      </c>
      <c r="F7" s="251" t="s">
        <v>254</v>
      </c>
      <c r="G7" s="251" t="s">
        <v>289</v>
      </c>
      <c r="H7" s="251" t="s">
        <v>254</v>
      </c>
      <c r="I7" s="251" t="s">
        <v>266</v>
      </c>
      <c r="J7" s="251" t="s">
        <v>255</v>
      </c>
      <c r="K7" s="251" t="s">
        <v>255</v>
      </c>
      <c r="L7" s="251" t="s">
        <v>255</v>
      </c>
      <c r="M7" s="251" t="s">
        <v>255</v>
      </c>
      <c r="N7" s="251"/>
      <c r="O7" s="252" t="s">
        <v>245</v>
      </c>
      <c r="P7" s="33"/>
      <c r="Q7" s="255" t="s">
        <v>247</v>
      </c>
      <c r="R7" s="251" t="s">
        <v>247</v>
      </c>
      <c r="S7" s="251" t="s">
        <v>247</v>
      </c>
      <c r="T7" s="251" t="s">
        <v>247</v>
      </c>
      <c r="U7" s="256" t="s">
        <v>248</v>
      </c>
      <c r="V7" s="255" t="s">
        <v>249</v>
      </c>
      <c r="W7" s="307" t="s">
        <v>250</v>
      </c>
      <c r="X7" s="250" t="s">
        <v>44</v>
      </c>
    </row>
    <row r="8" spans="2:24" s="2" customFormat="1" ht="16.5" thickBot="1">
      <c r="B8" s="306"/>
      <c r="C8" s="253" t="s">
        <v>244</v>
      </c>
      <c r="D8" s="253" t="s">
        <v>253</v>
      </c>
      <c r="E8" s="253" t="s">
        <v>257</v>
      </c>
      <c r="F8" s="253" t="s">
        <v>258</v>
      </c>
      <c r="G8" s="253" t="s">
        <v>290</v>
      </c>
      <c r="H8" s="253" t="s">
        <v>264</v>
      </c>
      <c r="I8" s="253" t="s">
        <v>267</v>
      </c>
      <c r="J8" s="253"/>
      <c r="K8" s="253"/>
      <c r="L8" s="253"/>
      <c r="M8" s="253"/>
      <c r="N8" s="253"/>
      <c r="O8" s="233" t="s">
        <v>246</v>
      </c>
      <c r="P8" s="33"/>
      <c r="Q8" s="237" t="s">
        <v>260</v>
      </c>
      <c r="R8" s="253" t="s">
        <v>261</v>
      </c>
      <c r="S8" s="253" t="s">
        <v>262</v>
      </c>
      <c r="T8" s="253" t="s">
        <v>263</v>
      </c>
      <c r="U8" s="236" t="s">
        <v>0</v>
      </c>
      <c r="V8" s="237" t="s">
        <v>251</v>
      </c>
      <c r="W8" s="308"/>
      <c r="X8" s="249" t="s">
        <v>252</v>
      </c>
    </row>
    <row r="9" spans="2:25" s="2" customFormat="1" ht="15.75">
      <c r="B9" s="4" t="s">
        <v>16</v>
      </c>
      <c r="C9" s="258">
        <f>SUM(C10:C13)</f>
        <v>23314139034.69092</v>
      </c>
      <c r="D9" s="258">
        <f>SUM(D10:D13)</f>
        <v>1505495404</v>
      </c>
      <c r="E9" s="258">
        <f aca="true" t="shared" si="0" ref="E9:N9">SUM(E10:E13)</f>
        <v>0</v>
      </c>
      <c r="F9" s="258">
        <f t="shared" si="0"/>
        <v>0</v>
      </c>
      <c r="G9" s="258">
        <f>SUM(G10:G13)</f>
        <v>0</v>
      </c>
      <c r="H9" s="258">
        <f t="shared" si="0"/>
        <v>0</v>
      </c>
      <c r="I9" s="258">
        <f t="shared" si="0"/>
        <v>0</v>
      </c>
      <c r="J9" s="258">
        <f t="shared" si="0"/>
        <v>0</v>
      </c>
      <c r="K9" s="258">
        <f t="shared" si="0"/>
        <v>0</v>
      </c>
      <c r="L9" s="258">
        <f t="shared" si="0"/>
        <v>0</v>
      </c>
      <c r="M9" s="258">
        <f t="shared" si="0"/>
        <v>0</v>
      </c>
      <c r="N9" s="258">
        <f t="shared" si="0"/>
        <v>0</v>
      </c>
      <c r="O9" s="259">
        <f>SUM(O10:O13)</f>
        <v>24819634438.69092</v>
      </c>
      <c r="P9" s="260"/>
      <c r="Q9" s="261">
        <f aca="true" t="shared" si="1" ref="Q9:V9">SUM(Q10:Q13)</f>
        <v>2665441770</v>
      </c>
      <c r="R9" s="258">
        <f t="shared" si="1"/>
        <v>0</v>
      </c>
      <c r="S9" s="258">
        <f t="shared" si="1"/>
        <v>0</v>
      </c>
      <c r="T9" s="258">
        <f t="shared" si="1"/>
        <v>0</v>
      </c>
      <c r="U9" s="262">
        <f t="shared" si="1"/>
        <v>0</v>
      </c>
      <c r="V9" s="261">
        <f t="shared" si="1"/>
        <v>2665441770</v>
      </c>
      <c r="W9" s="258">
        <f>SUM(W10:W13)</f>
        <v>22154192668.69092</v>
      </c>
      <c r="X9" s="246">
        <f aca="true" t="shared" si="2" ref="X9:X56">+V9/O9</f>
        <v>0.10739246690293257</v>
      </c>
      <c r="Y9" s="298"/>
    </row>
    <row r="10" spans="2:25" s="2" customFormat="1" ht="15.75">
      <c r="B10" s="6" t="s">
        <v>17</v>
      </c>
      <c r="C10" s="263">
        <v>11873147131</v>
      </c>
      <c r="D10" s="263"/>
      <c r="E10" s="263"/>
      <c r="F10" s="263"/>
      <c r="G10" s="263"/>
      <c r="H10" s="263"/>
      <c r="I10" s="263"/>
      <c r="J10" s="263"/>
      <c r="K10" s="263"/>
      <c r="L10" s="263"/>
      <c r="M10" s="263"/>
      <c r="N10" s="263"/>
      <c r="O10" s="264">
        <f>SUM(C10:N10)</f>
        <v>11873147131</v>
      </c>
      <c r="P10" s="260"/>
      <c r="Q10" s="265">
        <v>2591299935</v>
      </c>
      <c r="R10" s="263"/>
      <c r="S10" s="263"/>
      <c r="T10" s="263"/>
      <c r="U10" s="266"/>
      <c r="V10" s="265">
        <f>SUM(Q10:U10)</f>
        <v>2591299935</v>
      </c>
      <c r="W10" s="263">
        <f>+O10-V10</f>
        <v>9281847196</v>
      </c>
      <c r="X10" s="245">
        <f t="shared" si="2"/>
        <v>0.21824878496066874</v>
      </c>
      <c r="Y10" s="298"/>
    </row>
    <row r="11" spans="2:25" s="2" customFormat="1" ht="15.75">
      <c r="B11" s="6" t="s">
        <v>60</v>
      </c>
      <c r="C11" s="263">
        <v>716469641</v>
      </c>
      <c r="D11" s="263"/>
      <c r="E11" s="263"/>
      <c r="F11" s="263"/>
      <c r="G11" s="263"/>
      <c r="H11" s="263"/>
      <c r="I11" s="263"/>
      <c r="J11" s="263"/>
      <c r="K11" s="263"/>
      <c r="L11" s="263"/>
      <c r="M11" s="263"/>
      <c r="N11" s="263"/>
      <c r="O11" s="264">
        <f>SUM(C11:N11)</f>
        <v>716469641</v>
      </c>
      <c r="P11" s="260"/>
      <c r="Q11" s="265">
        <v>41076908</v>
      </c>
      <c r="R11" s="263"/>
      <c r="S11" s="263"/>
      <c r="T11" s="263"/>
      <c r="U11" s="266"/>
      <c r="V11" s="265">
        <f>SUM(Q11:U11)</f>
        <v>41076908</v>
      </c>
      <c r="W11" s="263">
        <f>+O11-V11</f>
        <v>675392733</v>
      </c>
      <c r="X11" s="245">
        <f t="shared" si="2"/>
        <v>0.057332377604538305</v>
      </c>
      <c r="Y11" s="298"/>
    </row>
    <row r="12" spans="2:25" s="2" customFormat="1" ht="15.75">
      <c r="B12" s="6" t="s">
        <v>18</v>
      </c>
      <c r="C12" s="263">
        <v>559156257</v>
      </c>
      <c r="D12" s="263"/>
      <c r="E12" s="263"/>
      <c r="F12" s="263"/>
      <c r="G12" s="263"/>
      <c r="H12" s="263"/>
      <c r="I12" s="263"/>
      <c r="J12" s="263"/>
      <c r="K12" s="263"/>
      <c r="L12" s="263"/>
      <c r="M12" s="263"/>
      <c r="N12" s="263"/>
      <c r="O12" s="264">
        <f>SUM(C12:N12)</f>
        <v>559156257</v>
      </c>
      <c r="P12" s="260"/>
      <c r="Q12" s="265">
        <v>33064927</v>
      </c>
      <c r="R12" s="263"/>
      <c r="S12" s="263"/>
      <c r="T12" s="263"/>
      <c r="U12" s="266"/>
      <c r="V12" s="265">
        <f>SUM(Q12:U12)</f>
        <v>33064927</v>
      </c>
      <c r="W12" s="263">
        <f>+O12-V12</f>
        <v>526091330</v>
      </c>
      <c r="X12" s="245">
        <f t="shared" si="2"/>
        <v>0.05913360815704866</v>
      </c>
      <c r="Y12" s="298"/>
    </row>
    <row r="13" spans="2:25" ht="15.75">
      <c r="B13" s="91" t="s">
        <v>47</v>
      </c>
      <c r="C13" s="263">
        <v>10165366005.690922</v>
      </c>
      <c r="D13" s="263">
        <v>1505495404</v>
      </c>
      <c r="E13" s="263"/>
      <c r="F13" s="263"/>
      <c r="G13" s="263"/>
      <c r="H13" s="263"/>
      <c r="I13" s="263"/>
      <c r="J13" s="263"/>
      <c r="K13" s="263"/>
      <c r="L13" s="263"/>
      <c r="M13" s="263"/>
      <c r="N13" s="263"/>
      <c r="O13" s="264">
        <f>SUM(C13:N13)</f>
        <v>11670861409.690922</v>
      </c>
      <c r="P13" s="260"/>
      <c r="Q13" s="265">
        <v>0</v>
      </c>
      <c r="R13" s="263"/>
      <c r="S13" s="263"/>
      <c r="T13" s="263"/>
      <c r="U13" s="266"/>
      <c r="V13" s="265">
        <f>SUM(Q13:U13)</f>
        <v>0</v>
      </c>
      <c r="W13" s="263">
        <f>+O13-V13</f>
        <v>11670861409.690922</v>
      </c>
      <c r="X13" s="245">
        <f t="shared" si="2"/>
        <v>0</v>
      </c>
      <c r="Y13" s="298"/>
    </row>
    <row r="14" spans="2:25" s="2" customFormat="1" ht="15.75">
      <c r="B14" s="9" t="s">
        <v>19</v>
      </c>
      <c r="C14" s="267">
        <f>+SUM(C15:C16)</f>
        <v>750088000</v>
      </c>
      <c r="D14" s="267">
        <f>+SUM(D15:D16)</f>
        <v>0</v>
      </c>
      <c r="E14" s="267">
        <f aca="true" t="shared" si="3" ref="E14:V14">+SUM(E15:E16)</f>
        <v>0</v>
      </c>
      <c r="F14" s="267">
        <f t="shared" si="3"/>
        <v>0</v>
      </c>
      <c r="G14" s="267">
        <f>+SUM(G15:G16)</f>
        <v>0</v>
      </c>
      <c r="H14" s="267">
        <f t="shared" si="3"/>
        <v>0</v>
      </c>
      <c r="I14" s="267">
        <f t="shared" si="3"/>
        <v>0</v>
      </c>
      <c r="J14" s="267">
        <f t="shared" si="3"/>
        <v>0</v>
      </c>
      <c r="K14" s="267">
        <f t="shared" si="3"/>
        <v>0</v>
      </c>
      <c r="L14" s="267">
        <f t="shared" si="3"/>
        <v>0</v>
      </c>
      <c r="M14" s="267">
        <f t="shared" si="3"/>
        <v>0</v>
      </c>
      <c r="N14" s="267">
        <f t="shared" si="3"/>
        <v>0</v>
      </c>
      <c r="O14" s="268">
        <f t="shared" si="3"/>
        <v>750088000</v>
      </c>
      <c r="P14" s="260"/>
      <c r="Q14" s="269">
        <f t="shared" si="3"/>
        <v>324694306</v>
      </c>
      <c r="R14" s="267">
        <f t="shared" si="3"/>
        <v>0</v>
      </c>
      <c r="S14" s="267">
        <f t="shared" si="3"/>
        <v>0</v>
      </c>
      <c r="T14" s="267">
        <f t="shared" si="3"/>
        <v>0</v>
      </c>
      <c r="U14" s="270">
        <f t="shared" si="3"/>
        <v>0</v>
      </c>
      <c r="V14" s="269">
        <f t="shared" si="3"/>
        <v>324694306</v>
      </c>
      <c r="W14" s="267">
        <f>+SUM(W15:W16)</f>
        <v>425393694</v>
      </c>
      <c r="X14" s="244">
        <f t="shared" si="2"/>
        <v>0.4328749506724544</v>
      </c>
      <c r="Y14" s="298"/>
    </row>
    <row r="15" spans="2:25" ht="15.75">
      <c r="B15" s="91" t="s">
        <v>20</v>
      </c>
      <c r="C15" s="263">
        <v>400000</v>
      </c>
      <c r="D15" s="263"/>
      <c r="E15" s="263"/>
      <c r="F15" s="263"/>
      <c r="G15" s="263"/>
      <c r="H15" s="263"/>
      <c r="I15" s="263"/>
      <c r="J15" s="263"/>
      <c r="K15" s="263"/>
      <c r="L15" s="263"/>
      <c r="M15" s="263"/>
      <c r="N15" s="263"/>
      <c r="O15" s="264">
        <f>SUM(C15:N15)</f>
        <v>400000</v>
      </c>
      <c r="P15" s="260"/>
      <c r="Q15" s="271">
        <v>5634766</v>
      </c>
      <c r="R15" s="272"/>
      <c r="S15" s="272"/>
      <c r="T15" s="272"/>
      <c r="U15" s="273"/>
      <c r="V15" s="271">
        <f>SUM(Q15:U15)</f>
        <v>5634766</v>
      </c>
      <c r="W15" s="272">
        <f>+O15-V15</f>
        <v>-5234766</v>
      </c>
      <c r="X15" s="243">
        <f t="shared" si="2"/>
        <v>14.086915</v>
      </c>
      <c r="Y15" s="298"/>
    </row>
    <row r="16" spans="2:25" s="2" customFormat="1" ht="15.75">
      <c r="B16" s="6" t="s">
        <v>21</v>
      </c>
      <c r="C16" s="263">
        <v>749688000</v>
      </c>
      <c r="D16" s="263"/>
      <c r="E16" s="263"/>
      <c r="F16" s="263"/>
      <c r="G16" s="263"/>
      <c r="H16" s="263"/>
      <c r="I16" s="263"/>
      <c r="J16" s="263"/>
      <c r="K16" s="263"/>
      <c r="L16" s="263"/>
      <c r="M16" s="263"/>
      <c r="N16" s="263"/>
      <c r="O16" s="264">
        <f>SUM(C16:N16)</f>
        <v>749688000</v>
      </c>
      <c r="P16" s="260"/>
      <c r="Q16" s="265">
        <v>319059540</v>
      </c>
      <c r="R16" s="263"/>
      <c r="S16" s="263"/>
      <c r="T16" s="263"/>
      <c r="U16" s="266"/>
      <c r="V16" s="265">
        <f>SUM(Q16:U16)</f>
        <v>319059540</v>
      </c>
      <c r="W16" s="263">
        <f>+O16-V16</f>
        <v>430628460</v>
      </c>
      <c r="X16" s="245">
        <f t="shared" si="2"/>
        <v>0.4255897653423824</v>
      </c>
      <c r="Y16" s="298"/>
    </row>
    <row r="17" spans="2:25" s="2" customFormat="1" ht="15.75">
      <c r="B17" s="9" t="s">
        <v>22</v>
      </c>
      <c r="C17" s="267">
        <f>SUM(C9+C14)</f>
        <v>24064227034.69092</v>
      </c>
      <c r="D17" s="267">
        <f aca="true" t="shared" si="4" ref="D17:O17">SUM(D9+D14)</f>
        <v>1505495404</v>
      </c>
      <c r="E17" s="267">
        <f t="shared" si="4"/>
        <v>0</v>
      </c>
      <c r="F17" s="267">
        <f t="shared" si="4"/>
        <v>0</v>
      </c>
      <c r="G17" s="267">
        <f t="shared" si="4"/>
        <v>0</v>
      </c>
      <c r="H17" s="267">
        <f t="shared" si="4"/>
        <v>0</v>
      </c>
      <c r="I17" s="267">
        <f t="shared" si="4"/>
        <v>0</v>
      </c>
      <c r="J17" s="267">
        <f t="shared" si="4"/>
        <v>0</v>
      </c>
      <c r="K17" s="267">
        <f t="shared" si="4"/>
        <v>0</v>
      </c>
      <c r="L17" s="267">
        <f t="shared" si="4"/>
        <v>0</v>
      </c>
      <c r="M17" s="267">
        <f t="shared" si="4"/>
        <v>0</v>
      </c>
      <c r="N17" s="267">
        <f t="shared" si="4"/>
        <v>0</v>
      </c>
      <c r="O17" s="268">
        <f t="shared" si="4"/>
        <v>25569722438.69092</v>
      </c>
      <c r="P17" s="260"/>
      <c r="Q17" s="269">
        <f aca="true" t="shared" si="5" ref="Q17:V17">SUM(Q9+Q14)</f>
        <v>2990136076</v>
      </c>
      <c r="R17" s="267">
        <f t="shared" si="5"/>
        <v>0</v>
      </c>
      <c r="S17" s="267">
        <f t="shared" si="5"/>
        <v>0</v>
      </c>
      <c r="T17" s="267">
        <f t="shared" si="5"/>
        <v>0</v>
      </c>
      <c r="U17" s="270">
        <f t="shared" si="5"/>
        <v>0</v>
      </c>
      <c r="V17" s="269">
        <f t="shared" si="5"/>
        <v>2990136076</v>
      </c>
      <c r="W17" s="267">
        <f>SUM(W9+W14)</f>
        <v>22579586362.69092</v>
      </c>
      <c r="X17" s="244">
        <f t="shared" si="2"/>
        <v>0.11694049801164304</v>
      </c>
      <c r="Y17" s="298"/>
    </row>
    <row r="18" spans="2:25" s="2" customFormat="1" ht="15.75">
      <c r="B18" s="11" t="s">
        <v>23</v>
      </c>
      <c r="C18" s="267"/>
      <c r="D18" s="267"/>
      <c r="E18" s="267"/>
      <c r="F18" s="267"/>
      <c r="G18" s="267"/>
      <c r="H18" s="267"/>
      <c r="I18" s="267"/>
      <c r="J18" s="267"/>
      <c r="K18" s="267"/>
      <c r="L18" s="267"/>
      <c r="M18" s="267"/>
      <c r="N18" s="267"/>
      <c r="O18" s="268"/>
      <c r="P18" s="260"/>
      <c r="Q18" s="269"/>
      <c r="R18" s="267"/>
      <c r="S18" s="267"/>
      <c r="T18" s="267"/>
      <c r="U18" s="270"/>
      <c r="V18" s="269"/>
      <c r="W18" s="267"/>
      <c r="X18" s="244"/>
      <c r="Y18" s="298"/>
    </row>
    <row r="19" spans="2:25" s="2" customFormat="1" ht="15.75">
      <c r="B19" s="12" t="s">
        <v>24</v>
      </c>
      <c r="C19" s="267">
        <f>+C20+C34</f>
        <v>2657910739.6</v>
      </c>
      <c r="D19" s="267">
        <f aca="true" t="shared" si="6" ref="D19:O19">+D20+D34</f>
        <v>0</v>
      </c>
      <c r="E19" s="267">
        <f t="shared" si="6"/>
        <v>43009056</v>
      </c>
      <c r="F19" s="267">
        <f t="shared" si="6"/>
        <v>239861242</v>
      </c>
      <c r="G19" s="267">
        <f t="shared" si="6"/>
        <v>0</v>
      </c>
      <c r="H19" s="267">
        <f t="shared" si="6"/>
        <v>41244000</v>
      </c>
      <c r="I19" s="267">
        <f t="shared" si="6"/>
        <v>0</v>
      </c>
      <c r="J19" s="267">
        <f t="shared" si="6"/>
        <v>0</v>
      </c>
      <c r="K19" s="267">
        <f t="shared" si="6"/>
        <v>0</v>
      </c>
      <c r="L19" s="267">
        <f t="shared" si="6"/>
        <v>0</v>
      </c>
      <c r="M19" s="267">
        <f t="shared" si="6"/>
        <v>0</v>
      </c>
      <c r="N19" s="267">
        <f t="shared" si="6"/>
        <v>0</v>
      </c>
      <c r="O19" s="268">
        <f t="shared" si="6"/>
        <v>2982025037.6</v>
      </c>
      <c r="P19" s="260"/>
      <c r="Q19" s="269">
        <f aca="true" t="shared" si="7" ref="Q19:W19">+Q20+Q34</f>
        <v>596458616</v>
      </c>
      <c r="R19" s="267">
        <f t="shared" si="7"/>
        <v>0</v>
      </c>
      <c r="S19" s="267">
        <f t="shared" si="7"/>
        <v>0</v>
      </c>
      <c r="T19" s="267">
        <f t="shared" si="7"/>
        <v>0</v>
      </c>
      <c r="U19" s="270">
        <f t="shared" si="7"/>
        <v>0</v>
      </c>
      <c r="V19" s="269">
        <f t="shared" si="7"/>
        <v>596458616</v>
      </c>
      <c r="W19" s="267">
        <f t="shared" si="7"/>
        <v>2407663277.6</v>
      </c>
      <c r="X19" s="244">
        <f t="shared" si="2"/>
        <v>0.2000179772065372</v>
      </c>
      <c r="Y19" s="298"/>
    </row>
    <row r="20" spans="1:25" ht="15.75">
      <c r="A20" s="2"/>
      <c r="B20" s="13" t="s">
        <v>8</v>
      </c>
      <c r="C20" s="267">
        <f>SUM(C21:C33)</f>
        <v>1684259860</v>
      </c>
      <c r="D20" s="267">
        <f aca="true" t="shared" si="8" ref="D20:O20">SUM(D21:D33)</f>
        <v>0</v>
      </c>
      <c r="E20" s="267">
        <f t="shared" si="8"/>
        <v>41946874</v>
      </c>
      <c r="F20" s="267">
        <f t="shared" si="8"/>
        <v>5037876</v>
      </c>
      <c r="G20" s="267">
        <f t="shared" si="8"/>
        <v>-220206436</v>
      </c>
      <c r="H20" s="267">
        <f t="shared" si="8"/>
        <v>41244000</v>
      </c>
      <c r="I20" s="267">
        <f t="shared" si="8"/>
        <v>0</v>
      </c>
      <c r="J20" s="267">
        <f t="shared" si="8"/>
        <v>0</v>
      </c>
      <c r="K20" s="267">
        <f t="shared" si="8"/>
        <v>0</v>
      </c>
      <c r="L20" s="267">
        <f t="shared" si="8"/>
        <v>0</v>
      </c>
      <c r="M20" s="267">
        <f t="shared" si="8"/>
        <v>0</v>
      </c>
      <c r="N20" s="267">
        <f t="shared" si="8"/>
        <v>0</v>
      </c>
      <c r="O20" s="268">
        <f t="shared" si="8"/>
        <v>1552282174</v>
      </c>
      <c r="P20" s="260"/>
      <c r="Q20" s="269">
        <f aca="true" t="shared" si="9" ref="Q20:V20">SUM(Q21:Q33)</f>
        <v>380015218</v>
      </c>
      <c r="R20" s="267">
        <f t="shared" si="9"/>
        <v>0</v>
      </c>
      <c r="S20" s="267">
        <f t="shared" si="9"/>
        <v>0</v>
      </c>
      <c r="T20" s="267">
        <f t="shared" si="9"/>
        <v>0</v>
      </c>
      <c r="U20" s="270">
        <f t="shared" si="9"/>
        <v>0</v>
      </c>
      <c r="V20" s="269">
        <f t="shared" si="9"/>
        <v>380015218</v>
      </c>
      <c r="W20" s="267">
        <f>SUM(W21:W29)</f>
        <v>1194363812</v>
      </c>
      <c r="X20" s="244">
        <f t="shared" si="2"/>
        <v>0.24481065644190023</v>
      </c>
      <c r="Y20" s="298"/>
    </row>
    <row r="21" spans="2:25" ht="15.75">
      <c r="B21" s="101" t="s">
        <v>25</v>
      </c>
      <c r="C21" s="263">
        <v>947052000</v>
      </c>
      <c r="D21" s="263"/>
      <c r="E21" s="263">
        <f>+'[5]FUNCIONAMIENTO'!$F$9+'[5]FUNCIONAMIENTO - RECAUDO'!$F$9</f>
        <v>26661000</v>
      </c>
      <c r="F21" s="263"/>
      <c r="G21" s="263"/>
      <c r="H21" s="263">
        <v>27000000</v>
      </c>
      <c r="I21" s="263"/>
      <c r="J21" s="263"/>
      <c r="K21" s="263"/>
      <c r="L21" s="263"/>
      <c r="M21" s="263"/>
      <c r="N21" s="263"/>
      <c r="O21" s="264">
        <f aca="true" t="shared" si="10" ref="O21:O33">SUM(C21:N21)</f>
        <v>1000713000</v>
      </c>
      <c r="P21" s="260"/>
      <c r="Q21" s="271">
        <v>219128444</v>
      </c>
      <c r="R21" s="272"/>
      <c r="S21" s="272"/>
      <c r="T21" s="272"/>
      <c r="U21" s="273"/>
      <c r="V21" s="271">
        <f aca="true" t="shared" si="11" ref="V21:V29">SUM(Q21:U21)</f>
        <v>219128444</v>
      </c>
      <c r="W21" s="272">
        <f aca="true" t="shared" si="12" ref="W21:W29">+O21-V21</f>
        <v>781584556</v>
      </c>
      <c r="X21" s="243">
        <f t="shared" si="2"/>
        <v>0.2189723167381657</v>
      </c>
      <c r="Y21" s="298"/>
    </row>
    <row r="22" spans="1:25" ht="15.75">
      <c r="A22" s="2"/>
      <c r="B22" s="15" t="s">
        <v>46</v>
      </c>
      <c r="C22" s="274">
        <v>3670000</v>
      </c>
      <c r="D22" s="274"/>
      <c r="E22" s="274">
        <f>+'[5]FUNCIONAMIENTO - RECAUDO'!$F$10</f>
        <v>208000</v>
      </c>
      <c r="F22" s="274"/>
      <c r="G22" s="274"/>
      <c r="H22" s="274">
        <v>0</v>
      </c>
      <c r="I22" s="274"/>
      <c r="J22" s="274"/>
      <c r="K22" s="274"/>
      <c r="L22" s="274"/>
      <c r="M22" s="274"/>
      <c r="N22" s="274"/>
      <c r="O22" s="275">
        <f t="shared" si="10"/>
        <v>3878000</v>
      </c>
      <c r="P22" s="260"/>
      <c r="Q22" s="276">
        <v>934200</v>
      </c>
      <c r="R22" s="274"/>
      <c r="S22" s="274"/>
      <c r="T22" s="274"/>
      <c r="U22" s="277"/>
      <c r="V22" s="276">
        <f t="shared" si="11"/>
        <v>934200</v>
      </c>
      <c r="W22" s="274">
        <f t="shared" si="12"/>
        <v>2943800</v>
      </c>
      <c r="X22" s="242">
        <f t="shared" si="2"/>
        <v>0.2408973697782362</v>
      </c>
      <c r="Y22" s="298"/>
    </row>
    <row r="23" spans="2:25" ht="15.75">
      <c r="B23" s="101" t="s">
        <v>26</v>
      </c>
      <c r="C23" s="263">
        <v>39472000</v>
      </c>
      <c r="D23" s="263"/>
      <c r="E23" s="263">
        <f>+'[5]FUNCIONAMIENTO'!$F$10+'[5]FUNCIONAMIENTO - RECAUDO'!$F$11</f>
        <v>1112000</v>
      </c>
      <c r="F23" s="263"/>
      <c r="G23" s="263"/>
      <c r="H23" s="263">
        <v>1125000</v>
      </c>
      <c r="I23" s="263"/>
      <c r="J23" s="263"/>
      <c r="K23" s="263"/>
      <c r="L23" s="263"/>
      <c r="M23" s="263"/>
      <c r="N23" s="263"/>
      <c r="O23" s="264">
        <f t="shared" si="10"/>
        <v>41709000</v>
      </c>
      <c r="P23" s="260"/>
      <c r="Q23" s="271">
        <v>10133406</v>
      </c>
      <c r="R23" s="272"/>
      <c r="S23" s="272"/>
      <c r="T23" s="272"/>
      <c r="U23" s="273"/>
      <c r="V23" s="271">
        <f t="shared" si="11"/>
        <v>10133406</v>
      </c>
      <c r="W23" s="272">
        <f t="shared" si="12"/>
        <v>31575594</v>
      </c>
      <c r="X23" s="243">
        <f t="shared" si="2"/>
        <v>0.24295490181975113</v>
      </c>
      <c r="Y23" s="298"/>
    </row>
    <row r="24" spans="2:25" ht="15.75">
      <c r="B24" s="101" t="s">
        <v>27</v>
      </c>
      <c r="C24" s="263">
        <v>79242000</v>
      </c>
      <c r="D24" s="263"/>
      <c r="E24" s="263">
        <f>+'[5]FUNCIONAMIENTO'!$F$11+'[5]FUNCIONAMIENTO - RECAUDO'!$F$12</f>
        <v>2232000</v>
      </c>
      <c r="F24" s="263"/>
      <c r="G24" s="263"/>
      <c r="H24" s="263">
        <v>2250000</v>
      </c>
      <c r="I24" s="263"/>
      <c r="J24" s="263"/>
      <c r="K24" s="263"/>
      <c r="L24" s="263"/>
      <c r="M24" s="263"/>
      <c r="N24" s="263"/>
      <c r="O24" s="264">
        <f t="shared" si="10"/>
        <v>83724000</v>
      </c>
      <c r="P24" s="260"/>
      <c r="Q24" s="271">
        <v>18361554</v>
      </c>
      <c r="R24" s="272"/>
      <c r="S24" s="272"/>
      <c r="T24" s="272"/>
      <c r="U24" s="273"/>
      <c r="V24" s="271">
        <f t="shared" si="11"/>
        <v>18361554</v>
      </c>
      <c r="W24" s="272">
        <f t="shared" si="12"/>
        <v>65362446</v>
      </c>
      <c r="X24" s="243">
        <f t="shared" si="2"/>
        <v>0.21931052028092304</v>
      </c>
      <c r="Y24" s="298"/>
    </row>
    <row r="25" spans="2:25" ht="15.75">
      <c r="B25" s="101" t="s">
        <v>29</v>
      </c>
      <c r="C25" s="263">
        <v>79242000</v>
      </c>
      <c r="D25" s="263"/>
      <c r="E25" s="263">
        <f>+'[5]FUNCIONAMIENTO'!$F$12+'[5]FUNCIONAMIENTO - RECAUDO'!$F$13</f>
        <v>2232000</v>
      </c>
      <c r="F25" s="263"/>
      <c r="G25" s="263"/>
      <c r="H25" s="263">
        <v>2250000</v>
      </c>
      <c r="I25" s="263"/>
      <c r="J25" s="263"/>
      <c r="K25" s="263"/>
      <c r="L25" s="263"/>
      <c r="M25" s="263"/>
      <c r="N25" s="263"/>
      <c r="O25" s="264">
        <f t="shared" si="10"/>
        <v>83724000</v>
      </c>
      <c r="P25" s="260"/>
      <c r="Q25" s="271">
        <v>18361554</v>
      </c>
      <c r="R25" s="272"/>
      <c r="S25" s="272"/>
      <c r="T25" s="272"/>
      <c r="U25" s="273"/>
      <c r="V25" s="271">
        <f t="shared" si="11"/>
        <v>18361554</v>
      </c>
      <c r="W25" s="272">
        <f t="shared" si="12"/>
        <v>65362446</v>
      </c>
      <c r="X25" s="243">
        <f t="shared" si="2"/>
        <v>0.21931052028092304</v>
      </c>
      <c r="Y25" s="298"/>
    </row>
    <row r="26" spans="2:25" ht="15.75">
      <c r="B26" s="101" t="s">
        <v>30</v>
      </c>
      <c r="C26" s="263">
        <v>9523000</v>
      </c>
      <c r="D26" s="263"/>
      <c r="E26" s="263">
        <f>+'[5]FUNCIONAMIENTO'!$F$13+'[5]FUNCIONAMIENTO - RECAUDO'!$F$14</f>
        <v>267000</v>
      </c>
      <c r="F26" s="263"/>
      <c r="G26" s="263"/>
      <c r="H26" s="263">
        <v>270000</v>
      </c>
      <c r="I26" s="263"/>
      <c r="J26" s="263"/>
      <c r="K26" s="263"/>
      <c r="L26" s="263"/>
      <c r="M26" s="263"/>
      <c r="N26" s="263"/>
      <c r="O26" s="264">
        <f t="shared" si="10"/>
        <v>10060000</v>
      </c>
      <c r="P26" s="260"/>
      <c r="Q26" s="271">
        <v>512987</v>
      </c>
      <c r="R26" s="272"/>
      <c r="S26" s="272"/>
      <c r="T26" s="272"/>
      <c r="U26" s="273"/>
      <c r="V26" s="271">
        <f t="shared" si="11"/>
        <v>512987</v>
      </c>
      <c r="W26" s="272">
        <f t="shared" si="12"/>
        <v>9547013</v>
      </c>
      <c r="X26" s="243">
        <f t="shared" si="2"/>
        <v>0.0509927435387674</v>
      </c>
      <c r="Y26" s="298"/>
    </row>
    <row r="27" spans="2:25" ht="15.75">
      <c r="B27" s="101" t="s">
        <v>31</v>
      </c>
      <c r="C27" s="263">
        <v>218827000</v>
      </c>
      <c r="D27" s="263"/>
      <c r="E27" s="263">
        <f>+'[5]FUNCIONAMIENTO'!$F$14+'[5]FUNCIONAMIENTO'!$F$15+'[5]FUNCIONAMIENTO'!$F$16+'[5]FUNCIONAMIENTO - RECAUDO'!$F$15+'[5]FUNCIONAMIENTO - RECAUDO'!$F$16+'[5]FUNCIONAMIENTO - RECAUDO'!$F$17</f>
        <v>6168000</v>
      </c>
      <c r="F27" s="263"/>
      <c r="G27" s="263"/>
      <c r="H27" s="263">
        <v>5817000</v>
      </c>
      <c r="I27" s="263"/>
      <c r="J27" s="263"/>
      <c r="K27" s="263"/>
      <c r="L27" s="263"/>
      <c r="M27" s="263"/>
      <c r="N27" s="263"/>
      <c r="O27" s="264">
        <f t="shared" si="10"/>
        <v>230812000</v>
      </c>
      <c r="P27" s="260"/>
      <c r="Q27" s="271">
        <v>50479943</v>
      </c>
      <c r="R27" s="272"/>
      <c r="S27" s="272"/>
      <c r="T27" s="272"/>
      <c r="U27" s="273"/>
      <c r="V27" s="271">
        <f t="shared" si="11"/>
        <v>50479943</v>
      </c>
      <c r="W27" s="272">
        <f t="shared" si="12"/>
        <v>180332057</v>
      </c>
      <c r="X27" s="243">
        <f t="shared" si="2"/>
        <v>0.2187058861757621</v>
      </c>
      <c r="Y27" s="298"/>
    </row>
    <row r="28" spans="2:25" ht="15.75">
      <c r="B28" s="101" t="s">
        <v>32</v>
      </c>
      <c r="C28" s="263">
        <v>39472000</v>
      </c>
      <c r="D28" s="263"/>
      <c r="E28" s="263">
        <f>+'[5]FUNCIONAMIENTO'!$F$17+'[5]FUNCIONAMIENTO - RECAUDO'!$F$18</f>
        <v>1112000</v>
      </c>
      <c r="F28" s="263"/>
      <c r="G28" s="263"/>
      <c r="H28" s="263">
        <v>1125000</v>
      </c>
      <c r="I28" s="263"/>
      <c r="J28" s="263"/>
      <c r="K28" s="263"/>
      <c r="L28" s="263"/>
      <c r="M28" s="263"/>
      <c r="N28" s="263"/>
      <c r="O28" s="264">
        <f t="shared" si="10"/>
        <v>41709000</v>
      </c>
      <c r="P28" s="260"/>
      <c r="Q28" s="271">
        <v>8768300</v>
      </c>
      <c r="R28" s="272"/>
      <c r="S28" s="272"/>
      <c r="T28" s="272"/>
      <c r="U28" s="273"/>
      <c r="V28" s="271">
        <f t="shared" si="11"/>
        <v>8768300</v>
      </c>
      <c r="W28" s="272">
        <f t="shared" si="12"/>
        <v>32940700</v>
      </c>
      <c r="X28" s="243">
        <f t="shared" si="2"/>
        <v>0.21022561077944807</v>
      </c>
      <c r="Y28" s="298"/>
    </row>
    <row r="29" spans="2:25" ht="15.75">
      <c r="B29" s="101" t="s">
        <v>268</v>
      </c>
      <c r="C29" s="263">
        <v>29605000</v>
      </c>
      <c r="D29" s="263"/>
      <c r="E29" s="263">
        <v>843000</v>
      </c>
      <c r="F29" s="263"/>
      <c r="G29" s="263"/>
      <c r="H29" s="263">
        <v>844000</v>
      </c>
      <c r="I29" s="263"/>
      <c r="J29" s="263"/>
      <c r="K29" s="263"/>
      <c r="L29" s="263"/>
      <c r="M29" s="263"/>
      <c r="N29" s="263"/>
      <c r="O29" s="264">
        <f t="shared" si="10"/>
        <v>31292000</v>
      </c>
      <c r="P29" s="260"/>
      <c r="Q29" s="271">
        <v>6576800</v>
      </c>
      <c r="R29" s="272"/>
      <c r="S29" s="272"/>
      <c r="T29" s="272"/>
      <c r="U29" s="273"/>
      <c r="V29" s="271">
        <f t="shared" si="11"/>
        <v>6576800</v>
      </c>
      <c r="W29" s="272">
        <f t="shared" si="12"/>
        <v>24715200</v>
      </c>
      <c r="X29" s="243">
        <f t="shared" si="2"/>
        <v>0.21017512463249394</v>
      </c>
      <c r="Y29" s="298"/>
    </row>
    <row r="30" spans="2:25" ht="15.75">
      <c r="B30" s="101" t="s">
        <v>269</v>
      </c>
      <c r="C30" s="263">
        <v>19736000</v>
      </c>
      <c r="D30" s="263"/>
      <c r="E30" s="263">
        <v>559000</v>
      </c>
      <c r="F30" s="263"/>
      <c r="G30" s="263"/>
      <c r="H30" s="263">
        <v>563000</v>
      </c>
      <c r="I30" s="263"/>
      <c r="J30" s="263"/>
      <c r="K30" s="263"/>
      <c r="L30" s="263"/>
      <c r="M30" s="263"/>
      <c r="N30" s="263"/>
      <c r="O30" s="264">
        <f t="shared" si="10"/>
        <v>20858000</v>
      </c>
      <c r="P30" s="260"/>
      <c r="Q30" s="271">
        <v>4384800</v>
      </c>
      <c r="R30" s="272"/>
      <c r="S30" s="272"/>
      <c r="T30" s="272"/>
      <c r="U30" s="273"/>
      <c r="V30" s="271">
        <f>SUM(Q30:U30)</f>
        <v>4384800</v>
      </c>
      <c r="W30" s="272">
        <f>+O30-V30</f>
        <v>16473200</v>
      </c>
      <c r="X30" s="243">
        <f>+V30/O30</f>
        <v>0.21022149774666796</v>
      </c>
      <c r="Y30" s="298"/>
    </row>
    <row r="31" spans="2:25" ht="15.75">
      <c r="B31" s="101" t="s">
        <v>28</v>
      </c>
      <c r="C31" s="263">
        <v>3699024</v>
      </c>
      <c r="D31" s="263"/>
      <c r="E31" s="263">
        <f>+'[5]FUNCIONAMIENTO - RECAUDO'!$F$21</f>
        <v>104150</v>
      </c>
      <c r="F31" s="263"/>
      <c r="G31" s="263"/>
      <c r="H31" s="263"/>
      <c r="I31" s="263"/>
      <c r="J31" s="263"/>
      <c r="K31" s="263"/>
      <c r="L31" s="263"/>
      <c r="M31" s="263"/>
      <c r="N31" s="263"/>
      <c r="O31" s="264">
        <f t="shared" si="10"/>
        <v>3803174</v>
      </c>
      <c r="P31" s="260"/>
      <c r="Q31" s="271">
        <v>3639522</v>
      </c>
      <c r="R31" s="272"/>
      <c r="S31" s="272"/>
      <c r="T31" s="272"/>
      <c r="U31" s="273"/>
      <c r="V31" s="271">
        <f>SUM(Q31:U31)</f>
        <v>3639522</v>
      </c>
      <c r="W31" s="272">
        <f>+O31-V31</f>
        <v>163652</v>
      </c>
      <c r="X31" s="243">
        <f>+V31/O31</f>
        <v>0.9569696258966852</v>
      </c>
      <c r="Y31" s="298"/>
    </row>
    <row r="32" spans="2:25" ht="15.75">
      <c r="B32" s="101" t="s">
        <v>270</v>
      </c>
      <c r="C32" s="263">
        <v>0</v>
      </c>
      <c r="D32" s="263"/>
      <c r="E32" s="263"/>
      <c r="F32" s="263"/>
      <c r="G32" s="263"/>
      <c r="H32" s="263"/>
      <c r="I32" s="263"/>
      <c r="J32" s="263"/>
      <c r="K32" s="263"/>
      <c r="L32" s="263"/>
      <c r="M32" s="263"/>
      <c r="N32" s="263"/>
      <c r="O32" s="264">
        <f t="shared" si="10"/>
        <v>0</v>
      </c>
      <c r="P32" s="260"/>
      <c r="Q32" s="271"/>
      <c r="R32" s="272"/>
      <c r="S32" s="272"/>
      <c r="T32" s="272"/>
      <c r="U32" s="273"/>
      <c r="V32" s="271"/>
      <c r="W32" s="272"/>
      <c r="X32" s="243"/>
      <c r="Y32" s="298"/>
    </row>
    <row r="33" spans="2:25" ht="15.75">
      <c r="B33" s="101" t="s">
        <v>9</v>
      </c>
      <c r="C33" s="263">
        <v>214719836</v>
      </c>
      <c r="D33" s="263"/>
      <c r="E33" s="263">
        <v>448724</v>
      </c>
      <c r="F33" s="263">
        <v>5037876</v>
      </c>
      <c r="G33" s="263">
        <v>-220206436</v>
      </c>
      <c r="H33" s="263">
        <v>0</v>
      </c>
      <c r="I33" s="263"/>
      <c r="J33" s="263"/>
      <c r="K33" s="263"/>
      <c r="L33" s="263"/>
      <c r="M33" s="263"/>
      <c r="N33" s="263"/>
      <c r="O33" s="264">
        <f t="shared" si="10"/>
        <v>0</v>
      </c>
      <c r="P33" s="260"/>
      <c r="Q33" s="271">
        <v>38733708</v>
      </c>
      <c r="R33" s="272"/>
      <c r="S33" s="272"/>
      <c r="T33" s="272"/>
      <c r="U33" s="273"/>
      <c r="V33" s="271">
        <f>SUM(Q33:U33)</f>
        <v>38733708</v>
      </c>
      <c r="W33" s="272">
        <f>+O33-V33</f>
        <v>-38733708</v>
      </c>
      <c r="X33" s="243" t="e">
        <f>+V33/O33</f>
        <v>#DIV/0!</v>
      </c>
      <c r="Y33" s="298"/>
    </row>
    <row r="34" spans="1:26" ht="15.75">
      <c r="A34" s="2"/>
      <c r="B34" s="13" t="s">
        <v>10</v>
      </c>
      <c r="C34" s="267">
        <f>SUM(C35:C56)</f>
        <v>973650879.6</v>
      </c>
      <c r="D34" s="267">
        <f aca="true" t="shared" si="13" ref="D34:N34">SUM(D35:D56)</f>
        <v>0</v>
      </c>
      <c r="E34" s="267">
        <f t="shared" si="13"/>
        <v>1062182</v>
      </c>
      <c r="F34" s="267">
        <f t="shared" si="13"/>
        <v>234823366</v>
      </c>
      <c r="G34" s="267">
        <f t="shared" si="13"/>
        <v>220206436</v>
      </c>
      <c r="H34" s="267">
        <f t="shared" si="13"/>
        <v>0</v>
      </c>
      <c r="I34" s="267">
        <f t="shared" si="13"/>
        <v>0</v>
      </c>
      <c r="J34" s="267">
        <f t="shared" si="13"/>
        <v>0</v>
      </c>
      <c r="K34" s="267">
        <f t="shared" si="13"/>
        <v>0</v>
      </c>
      <c r="L34" s="267">
        <f t="shared" si="13"/>
        <v>0</v>
      </c>
      <c r="M34" s="267">
        <f t="shared" si="13"/>
        <v>0</v>
      </c>
      <c r="N34" s="267">
        <f t="shared" si="13"/>
        <v>0</v>
      </c>
      <c r="O34" s="268">
        <f>SUM(O35:O56)</f>
        <v>1429742863.6</v>
      </c>
      <c r="P34" s="260"/>
      <c r="Q34" s="269">
        <f aca="true" t="shared" si="14" ref="Q34:W34">SUM(Q35:Q56)</f>
        <v>216443398</v>
      </c>
      <c r="R34" s="267">
        <f t="shared" si="14"/>
        <v>0</v>
      </c>
      <c r="S34" s="267">
        <f t="shared" si="14"/>
        <v>0</v>
      </c>
      <c r="T34" s="267">
        <f t="shared" si="14"/>
        <v>0</v>
      </c>
      <c r="U34" s="270">
        <f t="shared" si="14"/>
        <v>0</v>
      </c>
      <c r="V34" s="269">
        <f t="shared" si="14"/>
        <v>216443398</v>
      </c>
      <c r="W34" s="267">
        <f t="shared" si="14"/>
        <v>1213299465.6</v>
      </c>
      <c r="X34" s="244">
        <f t="shared" si="2"/>
        <v>0.15138624119795188</v>
      </c>
      <c r="Y34" s="298"/>
      <c r="Z34" s="299"/>
    </row>
    <row r="35" spans="1:25" ht="15.75">
      <c r="A35" s="2"/>
      <c r="B35" s="101" t="s">
        <v>9</v>
      </c>
      <c r="C35" s="274">
        <v>0</v>
      </c>
      <c r="D35" s="274"/>
      <c r="E35" s="274"/>
      <c r="F35" s="274"/>
      <c r="G35" s="274">
        <v>220206436</v>
      </c>
      <c r="H35" s="274"/>
      <c r="I35" s="274"/>
      <c r="J35" s="274"/>
      <c r="K35" s="274"/>
      <c r="L35" s="274"/>
      <c r="M35" s="274"/>
      <c r="N35" s="274"/>
      <c r="O35" s="275">
        <f aca="true" t="shared" si="15" ref="O35:O56">SUM(C35:N35)</f>
        <v>220206436</v>
      </c>
      <c r="P35" s="260"/>
      <c r="Q35" s="276">
        <v>0</v>
      </c>
      <c r="R35" s="274"/>
      <c r="S35" s="274"/>
      <c r="T35" s="274"/>
      <c r="U35" s="277"/>
      <c r="V35" s="276">
        <f>SUM(Q35:U35)</f>
        <v>0</v>
      </c>
      <c r="W35" s="274">
        <f>+O35-V35</f>
        <v>220206436</v>
      </c>
      <c r="X35" s="242">
        <f t="shared" si="2"/>
        <v>0</v>
      </c>
      <c r="Y35" s="298"/>
    </row>
    <row r="36" spans="1:25" ht="15.75">
      <c r="A36" s="2"/>
      <c r="B36" s="101" t="s">
        <v>265</v>
      </c>
      <c r="C36" s="274">
        <v>0</v>
      </c>
      <c r="D36" s="274"/>
      <c r="E36" s="274"/>
      <c r="F36" s="274"/>
      <c r="G36" s="274"/>
      <c r="H36" s="274"/>
      <c r="I36" s="274"/>
      <c r="J36" s="274"/>
      <c r="K36" s="274"/>
      <c r="L36" s="274"/>
      <c r="M36" s="274"/>
      <c r="N36" s="274"/>
      <c r="O36" s="275">
        <f t="shared" si="15"/>
        <v>0</v>
      </c>
      <c r="P36" s="260"/>
      <c r="Q36" s="276"/>
      <c r="R36" s="274"/>
      <c r="S36" s="274"/>
      <c r="T36" s="274"/>
      <c r="U36" s="277"/>
      <c r="V36" s="276"/>
      <c r="W36" s="274"/>
      <c r="X36" s="242"/>
      <c r="Y36" s="298"/>
    </row>
    <row r="37" spans="1:25" ht="15.75">
      <c r="A37" s="2"/>
      <c r="B37" s="14" t="s">
        <v>7</v>
      </c>
      <c r="C37" s="274">
        <v>22581072</v>
      </c>
      <c r="D37" s="274"/>
      <c r="E37" s="274">
        <f>+'[5]FUNCIONAMIENTO - RECAUDO'!$F$36</f>
        <v>31224</v>
      </c>
      <c r="F37" s="274"/>
      <c r="G37" s="274"/>
      <c r="H37" s="274"/>
      <c r="I37" s="274"/>
      <c r="J37" s="274"/>
      <c r="K37" s="274"/>
      <c r="L37" s="274"/>
      <c r="M37" s="274"/>
      <c r="N37" s="274"/>
      <c r="O37" s="275">
        <f t="shared" si="15"/>
        <v>22612296</v>
      </c>
      <c r="P37" s="260"/>
      <c r="Q37" s="276">
        <v>8825573</v>
      </c>
      <c r="R37" s="274"/>
      <c r="S37" s="274"/>
      <c r="T37" s="274"/>
      <c r="U37" s="277"/>
      <c r="V37" s="276">
        <f>SUM(Q37:U37)</f>
        <v>8825573</v>
      </c>
      <c r="W37" s="274">
        <f>+O37-V37</f>
        <v>13786723</v>
      </c>
      <c r="X37" s="242">
        <f>+V37/O37</f>
        <v>0.39029972896162335</v>
      </c>
      <c r="Y37" s="298"/>
    </row>
    <row r="38" spans="1:25" ht="15.75">
      <c r="A38" s="2"/>
      <c r="B38" s="14" t="s">
        <v>76</v>
      </c>
      <c r="C38" s="274">
        <v>32640712</v>
      </c>
      <c r="D38" s="274"/>
      <c r="E38" s="274">
        <f>+'[5]FUNCIONAMIENTO'!$F$47+'[5]FUNCIONAMIENTO - RECAUDO'!$F$52</f>
        <v>17677</v>
      </c>
      <c r="F38" s="274"/>
      <c r="G38" s="274"/>
      <c r="H38" s="274"/>
      <c r="I38" s="274"/>
      <c r="J38" s="274"/>
      <c r="K38" s="274"/>
      <c r="L38" s="274"/>
      <c r="M38" s="274"/>
      <c r="N38" s="274"/>
      <c r="O38" s="275">
        <f t="shared" si="15"/>
        <v>32658389</v>
      </c>
      <c r="P38" s="260"/>
      <c r="Q38" s="276">
        <v>4733002</v>
      </c>
      <c r="R38" s="274"/>
      <c r="S38" s="274"/>
      <c r="T38" s="274"/>
      <c r="U38" s="277"/>
      <c r="V38" s="276">
        <f>SUM(Q38:U38)</f>
        <v>4733002</v>
      </c>
      <c r="W38" s="274">
        <f>+O38-V38</f>
        <v>27925387</v>
      </c>
      <c r="X38" s="242">
        <f>+V38/O38</f>
        <v>0.14492453990917922</v>
      </c>
      <c r="Y38" s="298"/>
    </row>
    <row r="39" spans="1:25" ht="15.75">
      <c r="A39" s="2"/>
      <c r="B39" s="14" t="s">
        <v>271</v>
      </c>
      <c r="C39" s="274">
        <v>0</v>
      </c>
      <c r="D39" s="274"/>
      <c r="E39" s="274"/>
      <c r="F39" s="274"/>
      <c r="G39" s="274"/>
      <c r="H39" s="274"/>
      <c r="I39" s="274"/>
      <c r="J39" s="274"/>
      <c r="K39" s="274"/>
      <c r="L39" s="274"/>
      <c r="M39" s="274"/>
      <c r="N39" s="274"/>
      <c r="O39" s="275">
        <f t="shared" si="15"/>
        <v>0</v>
      </c>
      <c r="P39" s="260"/>
      <c r="Q39" s="276"/>
      <c r="R39" s="274"/>
      <c r="S39" s="274"/>
      <c r="T39" s="274"/>
      <c r="U39" s="277"/>
      <c r="V39" s="276"/>
      <c r="W39" s="274"/>
      <c r="X39" s="242"/>
      <c r="Y39" s="298"/>
    </row>
    <row r="40" spans="1:25" ht="15.75">
      <c r="A40" s="2"/>
      <c r="B40" s="14" t="s">
        <v>33</v>
      </c>
      <c r="C40" s="274">
        <v>23734860</v>
      </c>
      <c r="D40" s="274"/>
      <c r="E40" s="274">
        <f>+'[5]FUNCIONAMIENTO'!$F$58+'[5]FUNCIONAMIENTO - RECAUDO'!$F$66</f>
        <v>56040</v>
      </c>
      <c r="F40" s="274"/>
      <c r="G40" s="274"/>
      <c r="H40" s="274"/>
      <c r="I40" s="274"/>
      <c r="J40" s="274"/>
      <c r="K40" s="274"/>
      <c r="L40" s="274"/>
      <c r="M40" s="274"/>
      <c r="N40" s="274"/>
      <c r="O40" s="275">
        <f t="shared" si="15"/>
        <v>23790900</v>
      </c>
      <c r="P40" s="260"/>
      <c r="Q40" s="276">
        <v>5262305</v>
      </c>
      <c r="R40" s="274"/>
      <c r="S40" s="274"/>
      <c r="T40" s="274"/>
      <c r="U40" s="277"/>
      <c r="V40" s="276">
        <f>SUM(Q40:U40)</f>
        <v>5262305</v>
      </c>
      <c r="W40" s="274">
        <f>+O40-V40</f>
        <v>18528595</v>
      </c>
      <c r="X40" s="242">
        <f>+V40/O40</f>
        <v>0.22118982468086537</v>
      </c>
      <c r="Y40" s="298"/>
    </row>
    <row r="41" spans="1:25" ht="15.75">
      <c r="A41" s="2"/>
      <c r="B41" s="14" t="s">
        <v>272</v>
      </c>
      <c r="C41" s="274">
        <v>46456176</v>
      </c>
      <c r="D41" s="274"/>
      <c r="E41" s="274">
        <f>+'[5]FUNCIONAMIENTO'!$F$62+'[5]FUNCIONAMIENTO - RECAUDO'!$F$70</f>
        <v>119352</v>
      </c>
      <c r="F41" s="274"/>
      <c r="G41" s="274"/>
      <c r="H41" s="274"/>
      <c r="I41" s="274"/>
      <c r="J41" s="274"/>
      <c r="K41" s="274"/>
      <c r="L41" s="274"/>
      <c r="M41" s="274"/>
      <c r="N41" s="274"/>
      <c r="O41" s="275">
        <f t="shared" si="15"/>
        <v>46575528</v>
      </c>
      <c r="P41" s="260"/>
      <c r="Q41" s="276">
        <v>11643879</v>
      </c>
      <c r="R41" s="274"/>
      <c r="S41" s="274"/>
      <c r="T41" s="274"/>
      <c r="U41" s="277"/>
      <c r="V41" s="276">
        <f>SUM(Q41:U41)</f>
        <v>11643879</v>
      </c>
      <c r="W41" s="274">
        <f>+O41-V41</f>
        <v>34931649</v>
      </c>
      <c r="X41" s="242">
        <f>+V41/O41</f>
        <v>0.24999993558849187</v>
      </c>
      <c r="Y41" s="298"/>
    </row>
    <row r="42" spans="1:25" ht="15.75">
      <c r="A42" s="2"/>
      <c r="B42" s="14" t="s">
        <v>5</v>
      </c>
      <c r="C42" s="274">
        <v>340562483</v>
      </c>
      <c r="D42" s="274"/>
      <c r="E42" s="274">
        <f>+'[5]FUNCIONAMIENTO - RECAUDO'!$F$62</f>
        <v>312480</v>
      </c>
      <c r="F42" s="274"/>
      <c r="G42" s="274"/>
      <c r="H42" s="274"/>
      <c r="I42" s="274"/>
      <c r="J42" s="274"/>
      <c r="K42" s="274"/>
      <c r="L42" s="274"/>
      <c r="M42" s="274"/>
      <c r="N42" s="274"/>
      <c r="O42" s="275">
        <f t="shared" si="15"/>
        <v>340874963</v>
      </c>
      <c r="P42" s="260"/>
      <c r="Q42" s="276">
        <v>53308168</v>
      </c>
      <c r="R42" s="274"/>
      <c r="S42" s="274"/>
      <c r="T42" s="274"/>
      <c r="U42" s="277"/>
      <c r="V42" s="276">
        <f>SUM(Q42:U42)</f>
        <v>53308168</v>
      </c>
      <c r="W42" s="274">
        <f>+O42-V42</f>
        <v>287566795</v>
      </c>
      <c r="X42" s="242">
        <f>+V42/O42</f>
        <v>0.15638628173463123</v>
      </c>
      <c r="Y42" s="298"/>
    </row>
    <row r="43" spans="1:25" ht="15.75">
      <c r="A43" s="2"/>
      <c r="B43" s="14" t="s">
        <v>273</v>
      </c>
      <c r="C43" s="274">
        <v>0</v>
      </c>
      <c r="D43" s="274"/>
      <c r="E43" s="274"/>
      <c r="F43" s="274"/>
      <c r="G43" s="274"/>
      <c r="H43" s="274"/>
      <c r="I43" s="274"/>
      <c r="J43" s="274"/>
      <c r="K43" s="274"/>
      <c r="L43" s="274"/>
      <c r="M43" s="274"/>
      <c r="N43" s="274"/>
      <c r="O43" s="275">
        <f t="shared" si="15"/>
        <v>0</v>
      </c>
      <c r="P43" s="260"/>
      <c r="Q43" s="276">
        <v>0</v>
      </c>
      <c r="R43" s="274"/>
      <c r="S43" s="274"/>
      <c r="T43" s="274"/>
      <c r="U43" s="277"/>
      <c r="V43" s="276">
        <f>SUM(Q43:U43)</f>
        <v>0</v>
      </c>
      <c r="W43" s="274">
        <f>+O43-V43</f>
        <v>0</v>
      </c>
      <c r="X43" s="242" t="e">
        <f>+V43/O43</f>
        <v>#DIV/0!</v>
      </c>
      <c r="Y43" s="298"/>
    </row>
    <row r="44" spans="1:25" ht="15.75">
      <c r="A44" s="2"/>
      <c r="B44" s="14" t="s">
        <v>274</v>
      </c>
      <c r="C44" s="274">
        <v>0</v>
      </c>
      <c r="D44" s="274"/>
      <c r="E44" s="274"/>
      <c r="F44" s="274"/>
      <c r="G44" s="274"/>
      <c r="H44" s="274"/>
      <c r="I44" s="274"/>
      <c r="J44" s="274"/>
      <c r="K44" s="274"/>
      <c r="L44" s="274"/>
      <c r="M44" s="274"/>
      <c r="N44" s="274"/>
      <c r="O44" s="275">
        <f t="shared" si="15"/>
        <v>0</v>
      </c>
      <c r="P44" s="260"/>
      <c r="Q44" s="276"/>
      <c r="R44" s="274"/>
      <c r="S44" s="274"/>
      <c r="T44" s="274"/>
      <c r="U44" s="277"/>
      <c r="V44" s="276"/>
      <c r="W44" s="274"/>
      <c r="X44" s="242"/>
      <c r="Y44" s="298"/>
    </row>
    <row r="45" spans="1:25" ht="15.75">
      <c r="A45" s="2"/>
      <c r="B45" s="14" t="s">
        <v>275</v>
      </c>
      <c r="C45" s="274">
        <v>14567352</v>
      </c>
      <c r="D45" s="274"/>
      <c r="E45" s="274">
        <f>+'[5]FUNCIONAMIENTO - RECAUDO'!$F$39</f>
        <v>37416</v>
      </c>
      <c r="F45" s="274"/>
      <c r="G45" s="274"/>
      <c r="H45" s="274"/>
      <c r="I45" s="274"/>
      <c r="J45" s="274"/>
      <c r="K45" s="274"/>
      <c r="L45" s="274"/>
      <c r="M45" s="274"/>
      <c r="N45" s="274"/>
      <c r="O45" s="275">
        <f t="shared" si="15"/>
        <v>14604768</v>
      </c>
      <c r="P45" s="260"/>
      <c r="Q45" s="276">
        <v>3641838</v>
      </c>
      <c r="R45" s="274"/>
      <c r="S45" s="274"/>
      <c r="T45" s="274"/>
      <c r="U45" s="277"/>
      <c r="V45" s="276">
        <f>SUM(Q45:U45)</f>
        <v>3641838</v>
      </c>
      <c r="W45" s="274">
        <f>+O45-V45</f>
        <v>10962930</v>
      </c>
      <c r="X45" s="242">
        <f>+V45/O45</f>
        <v>0.2493595242320864</v>
      </c>
      <c r="Y45" s="298"/>
    </row>
    <row r="46" spans="1:25" ht="15.75">
      <c r="A46" s="2"/>
      <c r="B46" s="14" t="s">
        <v>35</v>
      </c>
      <c r="C46" s="274">
        <v>4426344</v>
      </c>
      <c r="D46" s="274"/>
      <c r="E46" s="274">
        <f>+'[5]FUNCIONAMIENTO - RECAUDO'!$F$41</f>
        <v>8292</v>
      </c>
      <c r="F46" s="274"/>
      <c r="G46" s="274"/>
      <c r="H46" s="274"/>
      <c r="I46" s="274"/>
      <c r="J46" s="274"/>
      <c r="K46" s="274"/>
      <c r="L46" s="274"/>
      <c r="M46" s="274"/>
      <c r="N46" s="274"/>
      <c r="O46" s="275">
        <f t="shared" si="15"/>
        <v>4434636</v>
      </c>
      <c r="P46" s="260"/>
      <c r="Q46" s="276">
        <v>1106586</v>
      </c>
      <c r="R46" s="274"/>
      <c r="S46" s="274"/>
      <c r="T46" s="274"/>
      <c r="U46" s="277"/>
      <c r="V46" s="276">
        <f>SUM(Q46:U46)</f>
        <v>1106586</v>
      </c>
      <c r="W46" s="274">
        <f>+O46-V46</f>
        <v>3328050</v>
      </c>
      <c r="X46" s="242">
        <f>+V46/O46</f>
        <v>0.24953254336996317</v>
      </c>
      <c r="Y46" s="298"/>
    </row>
    <row r="47" spans="1:25" ht="15.75">
      <c r="A47" s="2"/>
      <c r="B47" s="40" t="s">
        <v>77</v>
      </c>
      <c r="C47" s="274">
        <v>8967000</v>
      </c>
      <c r="D47" s="274"/>
      <c r="E47" s="274">
        <f>+'[5]FUNCIONAMIENTO - RECAUDO'!$F$55</f>
        <v>840</v>
      </c>
      <c r="F47" s="274"/>
      <c r="G47" s="274"/>
      <c r="H47" s="274"/>
      <c r="I47" s="274"/>
      <c r="J47" s="274"/>
      <c r="K47" s="274"/>
      <c r="L47" s="274"/>
      <c r="M47" s="274"/>
      <c r="N47" s="274"/>
      <c r="O47" s="275">
        <f t="shared" si="15"/>
        <v>8967840</v>
      </c>
      <c r="P47" s="260"/>
      <c r="Q47" s="276">
        <v>943400</v>
      </c>
      <c r="R47" s="274"/>
      <c r="S47" s="274"/>
      <c r="T47" s="274"/>
      <c r="U47" s="277"/>
      <c r="V47" s="276">
        <f>SUM(Q47:U47)</f>
        <v>943400</v>
      </c>
      <c r="W47" s="274">
        <f>+O47-V47</f>
        <v>8024440</v>
      </c>
      <c r="X47" s="242">
        <f>+V47/O47</f>
        <v>0.105198130207497</v>
      </c>
      <c r="Y47" s="298"/>
    </row>
    <row r="48" spans="1:25" ht="15.75">
      <c r="A48" s="2"/>
      <c r="B48" s="14" t="s">
        <v>36</v>
      </c>
      <c r="C48" s="274">
        <v>75000000</v>
      </c>
      <c r="D48" s="274"/>
      <c r="E48" s="274"/>
      <c r="F48" s="274"/>
      <c r="G48" s="274"/>
      <c r="H48" s="274"/>
      <c r="I48" s="274"/>
      <c r="J48" s="274"/>
      <c r="K48" s="274"/>
      <c r="L48" s="274"/>
      <c r="M48" s="274"/>
      <c r="N48" s="274"/>
      <c r="O48" s="275">
        <f t="shared" si="15"/>
        <v>75000000</v>
      </c>
      <c r="P48" s="260"/>
      <c r="Q48" s="276">
        <v>10341531</v>
      </c>
      <c r="R48" s="274"/>
      <c r="S48" s="274"/>
      <c r="T48" s="274"/>
      <c r="U48" s="277"/>
      <c r="V48" s="276">
        <f>SUM(Q48:U48)</f>
        <v>10341531</v>
      </c>
      <c r="W48" s="274">
        <f>+O48-V48</f>
        <v>64658469</v>
      </c>
      <c r="X48" s="242">
        <f>+V48/O48</f>
        <v>0.13788708</v>
      </c>
      <c r="Y48" s="298"/>
    </row>
    <row r="49" spans="1:25" ht="15.75">
      <c r="A49" s="2"/>
      <c r="B49" s="14" t="s">
        <v>276</v>
      </c>
      <c r="C49" s="274">
        <v>254101348.6</v>
      </c>
      <c r="D49" s="274"/>
      <c r="E49" s="274">
        <v>285501</v>
      </c>
      <c r="F49" s="274">
        <v>234823366</v>
      </c>
      <c r="G49" s="274"/>
      <c r="H49" s="274"/>
      <c r="I49" s="274"/>
      <c r="J49" s="274"/>
      <c r="K49" s="274"/>
      <c r="L49" s="274"/>
      <c r="M49" s="274"/>
      <c r="N49" s="274"/>
      <c r="O49" s="275">
        <f t="shared" si="15"/>
        <v>489210215.6</v>
      </c>
      <c r="P49" s="260"/>
      <c r="Q49" s="276">
        <v>81860712</v>
      </c>
      <c r="R49" s="274"/>
      <c r="S49" s="274"/>
      <c r="T49" s="274"/>
      <c r="U49" s="277"/>
      <c r="V49" s="276">
        <f>SUM(Q49:U49)</f>
        <v>81860712</v>
      </c>
      <c r="W49" s="274">
        <f>+O49-V49</f>
        <v>407349503.6</v>
      </c>
      <c r="X49" s="242">
        <f>+V49/O49</f>
        <v>0.1673323847082804</v>
      </c>
      <c r="Y49" s="298"/>
    </row>
    <row r="50" spans="1:25" ht="15.75">
      <c r="A50" s="2"/>
      <c r="B50" s="14" t="s">
        <v>277</v>
      </c>
      <c r="C50" s="274">
        <v>0</v>
      </c>
      <c r="D50" s="274"/>
      <c r="E50" s="274"/>
      <c r="F50" s="274"/>
      <c r="G50" s="274"/>
      <c r="H50" s="274"/>
      <c r="I50" s="274"/>
      <c r="J50" s="274"/>
      <c r="K50" s="274"/>
      <c r="L50" s="274"/>
      <c r="M50" s="274"/>
      <c r="N50" s="274"/>
      <c r="O50" s="275">
        <f t="shared" si="15"/>
        <v>0</v>
      </c>
      <c r="P50" s="260"/>
      <c r="Q50" s="276"/>
      <c r="R50" s="274"/>
      <c r="S50" s="274"/>
      <c r="T50" s="274"/>
      <c r="U50" s="277"/>
      <c r="V50" s="276"/>
      <c r="W50" s="274"/>
      <c r="X50" s="242"/>
      <c r="Y50" s="298"/>
    </row>
    <row r="51" spans="1:25" ht="15.75">
      <c r="A51" s="2"/>
      <c r="B51" s="18" t="s">
        <v>278</v>
      </c>
      <c r="C51" s="278">
        <v>57766400</v>
      </c>
      <c r="D51" s="278"/>
      <c r="E51" s="278">
        <f>+'[5]FUNCIONAMIENTO'!$F$66</f>
        <v>19200</v>
      </c>
      <c r="F51" s="278"/>
      <c r="G51" s="278"/>
      <c r="H51" s="278"/>
      <c r="I51" s="278"/>
      <c r="J51" s="278"/>
      <c r="K51" s="278"/>
      <c r="L51" s="278"/>
      <c r="M51" s="278"/>
      <c r="N51" s="278"/>
      <c r="O51" s="279">
        <f t="shared" si="15"/>
        <v>57785600</v>
      </c>
      <c r="P51" s="260"/>
      <c r="Q51" s="280">
        <v>5893016</v>
      </c>
      <c r="R51" s="278"/>
      <c r="S51" s="278"/>
      <c r="T51" s="278"/>
      <c r="U51" s="281"/>
      <c r="V51" s="280">
        <f>SUM(Q51:U51)</f>
        <v>5893016</v>
      </c>
      <c r="W51" s="278">
        <f>+O51-V51</f>
        <v>51892584</v>
      </c>
      <c r="X51" s="241">
        <f>+V51/O51</f>
        <v>0.10198070107431609</v>
      </c>
      <c r="Y51" s="298"/>
    </row>
    <row r="52" spans="1:25" ht="15.75">
      <c r="A52" s="2"/>
      <c r="B52" s="14" t="s">
        <v>279</v>
      </c>
      <c r="C52" s="274">
        <v>38150000</v>
      </c>
      <c r="D52" s="274"/>
      <c r="E52" s="274">
        <f>+'[5]FUNCIONAMIENTO'!$F$64</f>
        <v>98000</v>
      </c>
      <c r="F52" s="274"/>
      <c r="G52" s="274"/>
      <c r="H52" s="274"/>
      <c r="I52" s="274"/>
      <c r="J52" s="274"/>
      <c r="K52" s="274"/>
      <c r="L52" s="274"/>
      <c r="M52" s="274"/>
      <c r="N52" s="274"/>
      <c r="O52" s="275">
        <f t="shared" si="15"/>
        <v>38248000</v>
      </c>
      <c r="P52" s="260"/>
      <c r="Q52" s="276">
        <v>0</v>
      </c>
      <c r="R52" s="274"/>
      <c r="S52" s="274"/>
      <c r="T52" s="274"/>
      <c r="U52" s="277"/>
      <c r="V52" s="276">
        <f>SUM(Q52:U52)</f>
        <v>0</v>
      </c>
      <c r="W52" s="274">
        <f>+O52-V52</f>
        <v>38248000</v>
      </c>
      <c r="X52" s="242">
        <f>+V52/O52</f>
        <v>0</v>
      </c>
      <c r="Y52" s="298"/>
    </row>
    <row r="53" spans="1:25" ht="15.75">
      <c r="A53" s="2"/>
      <c r="B53" s="14" t="s">
        <v>280</v>
      </c>
      <c r="C53" s="274">
        <v>0</v>
      </c>
      <c r="D53" s="274"/>
      <c r="E53" s="274"/>
      <c r="F53" s="274"/>
      <c r="G53" s="274"/>
      <c r="H53" s="274"/>
      <c r="I53" s="274"/>
      <c r="J53" s="274"/>
      <c r="K53" s="274"/>
      <c r="L53" s="274"/>
      <c r="M53" s="274"/>
      <c r="N53" s="274"/>
      <c r="O53" s="275">
        <f t="shared" si="15"/>
        <v>0</v>
      </c>
      <c r="P53" s="260"/>
      <c r="Q53" s="276"/>
      <c r="R53" s="274"/>
      <c r="S53" s="274"/>
      <c r="T53" s="274"/>
      <c r="U53" s="277"/>
      <c r="V53" s="276"/>
      <c r="W53" s="274"/>
      <c r="X53" s="242"/>
      <c r="Y53" s="298"/>
    </row>
    <row r="54" spans="1:25" ht="15.75">
      <c r="A54" s="2"/>
      <c r="B54" s="101" t="s">
        <v>281</v>
      </c>
      <c r="C54" s="274">
        <v>0</v>
      </c>
      <c r="D54" s="274"/>
      <c r="E54" s="274"/>
      <c r="F54" s="274"/>
      <c r="G54" s="274"/>
      <c r="H54" s="274"/>
      <c r="I54" s="274"/>
      <c r="J54" s="274"/>
      <c r="K54" s="274"/>
      <c r="L54" s="274"/>
      <c r="M54" s="274"/>
      <c r="N54" s="274"/>
      <c r="O54" s="275">
        <f t="shared" si="15"/>
        <v>0</v>
      </c>
      <c r="P54" s="260"/>
      <c r="Q54" s="276"/>
      <c r="R54" s="274"/>
      <c r="S54" s="274"/>
      <c r="T54" s="274"/>
      <c r="U54" s="277"/>
      <c r="V54" s="276"/>
      <c r="W54" s="274"/>
      <c r="X54" s="242"/>
      <c r="Y54" s="298"/>
    </row>
    <row r="55" spans="1:25" ht="15.75">
      <c r="A55" s="2"/>
      <c r="B55" s="14" t="s">
        <v>282</v>
      </c>
      <c r="C55" s="274">
        <v>39794503</v>
      </c>
      <c r="D55" s="274"/>
      <c r="E55" s="274">
        <v>50575</v>
      </c>
      <c r="F55" s="274"/>
      <c r="G55" s="274"/>
      <c r="H55" s="274"/>
      <c r="I55" s="274"/>
      <c r="J55" s="274"/>
      <c r="K55" s="274"/>
      <c r="L55" s="274"/>
      <c r="M55" s="274"/>
      <c r="N55" s="274"/>
      <c r="O55" s="275">
        <f t="shared" si="15"/>
        <v>39845078</v>
      </c>
      <c r="P55" s="260"/>
      <c r="Q55" s="276">
        <v>16591620</v>
      </c>
      <c r="R55" s="274"/>
      <c r="S55" s="274"/>
      <c r="T55" s="274"/>
      <c r="U55" s="277"/>
      <c r="V55" s="276">
        <f>SUM(Q55:U55)</f>
        <v>16591620</v>
      </c>
      <c r="W55" s="274">
        <f>+O55-V55</f>
        <v>23253458</v>
      </c>
      <c r="X55" s="242">
        <f t="shared" si="2"/>
        <v>0.4164032506097742</v>
      </c>
      <c r="Y55" s="298"/>
    </row>
    <row r="56" spans="1:25" ht="16.5" thickBot="1">
      <c r="A56" s="2"/>
      <c r="B56" s="14" t="s">
        <v>283</v>
      </c>
      <c r="C56" s="274">
        <v>14902629</v>
      </c>
      <c r="D56" s="274"/>
      <c r="E56" s="274">
        <v>25585</v>
      </c>
      <c r="F56" s="274"/>
      <c r="G56" s="274"/>
      <c r="H56" s="274"/>
      <c r="I56" s="274"/>
      <c r="J56" s="274"/>
      <c r="K56" s="274"/>
      <c r="L56" s="274"/>
      <c r="M56" s="274"/>
      <c r="N56" s="274"/>
      <c r="O56" s="275">
        <f t="shared" si="15"/>
        <v>14928214</v>
      </c>
      <c r="P56" s="260"/>
      <c r="Q56" s="276">
        <v>12291768</v>
      </c>
      <c r="R56" s="274"/>
      <c r="S56" s="274"/>
      <c r="T56" s="274"/>
      <c r="U56" s="277"/>
      <c r="V56" s="276">
        <f>SUM(Q56:U56)</f>
        <v>12291768</v>
      </c>
      <c r="W56" s="274">
        <f>+O56-V56</f>
        <v>2636446</v>
      </c>
      <c r="X56" s="242">
        <f t="shared" si="2"/>
        <v>0.823391733264274</v>
      </c>
      <c r="Y56" s="298"/>
    </row>
    <row r="57" spans="1:25" ht="16.5" thickBot="1">
      <c r="A57" s="2"/>
      <c r="B57" s="20" t="s">
        <v>82</v>
      </c>
      <c r="C57" s="282">
        <f>+C58</f>
        <v>1258961677.2</v>
      </c>
      <c r="D57" s="282">
        <f aca="true" t="shared" si="16" ref="D57:O57">+D58</f>
        <v>0</v>
      </c>
      <c r="E57" s="282">
        <f t="shared" si="16"/>
        <v>0</v>
      </c>
      <c r="F57" s="282">
        <f t="shared" si="16"/>
        <v>0</v>
      </c>
      <c r="G57" s="282">
        <f t="shared" si="16"/>
        <v>0</v>
      </c>
      <c r="H57" s="282">
        <f t="shared" si="16"/>
        <v>0</v>
      </c>
      <c r="I57" s="282">
        <f t="shared" si="16"/>
        <v>0</v>
      </c>
      <c r="J57" s="282">
        <f t="shared" si="16"/>
        <v>0</v>
      </c>
      <c r="K57" s="282">
        <f t="shared" si="16"/>
        <v>0</v>
      </c>
      <c r="L57" s="282">
        <f t="shared" si="16"/>
        <v>0</v>
      </c>
      <c r="M57" s="282">
        <f t="shared" si="16"/>
        <v>0</v>
      </c>
      <c r="N57" s="282">
        <f t="shared" si="16"/>
        <v>0</v>
      </c>
      <c r="O57" s="283">
        <f t="shared" si="16"/>
        <v>1258961677.2</v>
      </c>
      <c r="P57" s="260"/>
      <c r="Q57" s="284">
        <f aca="true" t="shared" si="17" ref="Q57:V57">+Q58</f>
        <v>263206248</v>
      </c>
      <c r="R57" s="282">
        <f t="shared" si="17"/>
        <v>0</v>
      </c>
      <c r="S57" s="282">
        <f t="shared" si="17"/>
        <v>0</v>
      </c>
      <c r="T57" s="282">
        <f t="shared" si="17"/>
        <v>0</v>
      </c>
      <c r="U57" s="285">
        <f t="shared" si="17"/>
        <v>0</v>
      </c>
      <c r="V57" s="284">
        <f t="shared" si="17"/>
        <v>263237684.3</v>
      </c>
      <c r="W57" s="282">
        <f>+W58</f>
        <v>995723992.9000001</v>
      </c>
      <c r="X57" s="240">
        <f aca="true" t="shared" si="18" ref="X57:X75">+V57/O57</f>
        <v>0.20909110187170676</v>
      </c>
      <c r="Y57" s="298"/>
    </row>
    <row r="58" spans="1:25" ht="15.75">
      <c r="A58" s="2"/>
      <c r="B58" s="22" t="s">
        <v>284</v>
      </c>
      <c r="C58" s="286">
        <f aca="true" t="shared" si="19" ref="C58:N58">(+C10+C11)*10%</f>
        <v>1258961677.2</v>
      </c>
      <c r="D58" s="286">
        <f t="shared" si="19"/>
        <v>0</v>
      </c>
      <c r="E58" s="286">
        <f t="shared" si="19"/>
        <v>0</v>
      </c>
      <c r="F58" s="286">
        <f t="shared" si="19"/>
        <v>0</v>
      </c>
      <c r="G58" s="286">
        <f t="shared" si="19"/>
        <v>0</v>
      </c>
      <c r="H58" s="286">
        <f t="shared" si="19"/>
        <v>0</v>
      </c>
      <c r="I58" s="286">
        <f t="shared" si="19"/>
        <v>0</v>
      </c>
      <c r="J58" s="286">
        <f t="shared" si="19"/>
        <v>0</v>
      </c>
      <c r="K58" s="286">
        <f t="shared" si="19"/>
        <v>0</v>
      </c>
      <c r="L58" s="286">
        <f t="shared" si="19"/>
        <v>0</v>
      </c>
      <c r="M58" s="286">
        <f t="shared" si="19"/>
        <v>0</v>
      </c>
      <c r="N58" s="286">
        <f t="shared" si="19"/>
        <v>0</v>
      </c>
      <c r="O58" s="287">
        <f>SUM(C58:N58)</f>
        <v>1258961677.2</v>
      </c>
      <c r="P58" s="260"/>
      <c r="Q58" s="288">
        <v>263206248</v>
      </c>
      <c r="R58" s="286">
        <v>0</v>
      </c>
      <c r="S58" s="286">
        <f>(+S10+S11)*10%</f>
        <v>0</v>
      </c>
      <c r="T58" s="286">
        <f>(+T10+T11)*10%</f>
        <v>0</v>
      </c>
      <c r="U58" s="289">
        <f>(+U10+U11)*10%</f>
        <v>0</v>
      </c>
      <c r="V58" s="288">
        <f>(+V10+V11)*10%</f>
        <v>263237684.3</v>
      </c>
      <c r="W58" s="286">
        <f>(+W10+W11)*10%</f>
        <v>995723992.9000001</v>
      </c>
      <c r="X58" s="239">
        <f t="shared" si="18"/>
        <v>0.20909110187170676</v>
      </c>
      <c r="Y58" s="298"/>
    </row>
    <row r="59" spans="1:25" ht="15.75">
      <c r="A59" s="2"/>
      <c r="B59" s="12" t="s">
        <v>83</v>
      </c>
      <c r="C59" s="267">
        <f>+C60+C74+C96</f>
        <v>13764732266</v>
      </c>
      <c r="D59" s="267">
        <f aca="true" t="shared" si="20" ref="D59:O59">+D60+D74+D96</f>
        <v>0</v>
      </c>
      <c r="E59" s="267">
        <f t="shared" si="20"/>
        <v>97122759</v>
      </c>
      <c r="F59" s="267">
        <f t="shared" si="20"/>
        <v>0</v>
      </c>
      <c r="G59" s="267">
        <f t="shared" si="20"/>
        <v>0</v>
      </c>
      <c r="H59" s="267">
        <f t="shared" si="20"/>
        <v>0</v>
      </c>
      <c r="I59" s="267">
        <f t="shared" si="20"/>
        <v>0</v>
      </c>
      <c r="J59" s="267">
        <f t="shared" si="20"/>
        <v>0</v>
      </c>
      <c r="K59" s="267">
        <f t="shared" si="20"/>
        <v>0</v>
      </c>
      <c r="L59" s="267">
        <f t="shared" si="20"/>
        <v>0</v>
      </c>
      <c r="M59" s="267">
        <f t="shared" si="20"/>
        <v>0</v>
      </c>
      <c r="N59" s="267">
        <f t="shared" si="20"/>
        <v>0</v>
      </c>
      <c r="O59" s="268">
        <f t="shared" si="20"/>
        <v>13861855025</v>
      </c>
      <c r="P59" s="260"/>
      <c r="Q59" s="269">
        <f aca="true" t="shared" si="21" ref="Q59:W59">+Q60+Q74+Q96</f>
        <v>1957524491</v>
      </c>
      <c r="R59" s="267">
        <f t="shared" si="21"/>
        <v>0</v>
      </c>
      <c r="S59" s="267">
        <f t="shared" si="21"/>
        <v>0</v>
      </c>
      <c r="T59" s="267">
        <f t="shared" si="21"/>
        <v>0</v>
      </c>
      <c r="U59" s="270">
        <f t="shared" si="21"/>
        <v>0</v>
      </c>
      <c r="V59" s="269">
        <f t="shared" si="21"/>
        <v>1758794235</v>
      </c>
      <c r="W59" s="267">
        <f t="shared" si="21"/>
        <v>11344671778</v>
      </c>
      <c r="X59" s="244">
        <f t="shared" si="18"/>
        <v>0.12688014928939859</v>
      </c>
      <c r="Y59" s="298"/>
    </row>
    <row r="60" spans="1:25" ht="15.75">
      <c r="A60" s="2"/>
      <c r="B60" s="13" t="s">
        <v>8</v>
      </c>
      <c r="C60" s="267">
        <f>SUM(C61:C73)</f>
        <v>4181306150</v>
      </c>
      <c r="D60" s="267">
        <f aca="true" t="shared" si="22" ref="D60:O60">SUM(D61:D73)</f>
        <v>0</v>
      </c>
      <c r="E60" s="267">
        <f t="shared" si="22"/>
        <v>92584700</v>
      </c>
      <c r="F60" s="267">
        <f t="shared" si="22"/>
        <v>0</v>
      </c>
      <c r="G60" s="267">
        <f t="shared" si="22"/>
        <v>-905609502</v>
      </c>
      <c r="H60" s="267">
        <f t="shared" si="22"/>
        <v>0</v>
      </c>
      <c r="I60" s="267">
        <f t="shared" si="22"/>
        <v>0</v>
      </c>
      <c r="J60" s="267">
        <f t="shared" si="22"/>
        <v>0</v>
      </c>
      <c r="K60" s="267">
        <f t="shared" si="22"/>
        <v>0</v>
      </c>
      <c r="L60" s="267">
        <f t="shared" si="22"/>
        <v>0</v>
      </c>
      <c r="M60" s="267">
        <f t="shared" si="22"/>
        <v>0</v>
      </c>
      <c r="N60" s="267">
        <f t="shared" si="22"/>
        <v>0</v>
      </c>
      <c r="O60" s="268">
        <f t="shared" si="22"/>
        <v>3368281348</v>
      </c>
      <c r="P60" s="260"/>
      <c r="Q60" s="269">
        <f aca="true" t="shared" si="23" ref="Q60:V60">SUM(Q61:Q73)</f>
        <v>830105516</v>
      </c>
      <c r="R60" s="267">
        <f t="shared" si="23"/>
        <v>0</v>
      </c>
      <c r="S60" s="267">
        <f t="shared" si="23"/>
        <v>0</v>
      </c>
      <c r="T60" s="267">
        <f t="shared" si="23"/>
        <v>0</v>
      </c>
      <c r="U60" s="270">
        <f t="shared" si="23"/>
        <v>0</v>
      </c>
      <c r="V60" s="269">
        <f t="shared" si="23"/>
        <v>830105516</v>
      </c>
      <c r="W60" s="267">
        <f>SUM(W61:W69)</f>
        <v>2630364502</v>
      </c>
      <c r="X60" s="244">
        <f t="shared" si="18"/>
        <v>0.24644779643864834</v>
      </c>
      <c r="Y60" s="298"/>
    </row>
    <row r="61" spans="1:25" ht="15.75">
      <c r="A61" s="2"/>
      <c r="B61" s="15" t="s">
        <v>25</v>
      </c>
      <c r="C61" s="274">
        <v>2110108800</v>
      </c>
      <c r="D61" s="274"/>
      <c r="E61" s="274">
        <v>59420200</v>
      </c>
      <c r="F61" s="274"/>
      <c r="G61" s="274"/>
      <c r="H61" s="274"/>
      <c r="I61" s="274"/>
      <c r="J61" s="274"/>
      <c r="K61" s="274"/>
      <c r="L61" s="274"/>
      <c r="M61" s="274"/>
      <c r="N61" s="274"/>
      <c r="O61" s="275">
        <f aca="true" t="shared" si="24" ref="O61:O73">SUM(C61:N61)</f>
        <v>2169529000</v>
      </c>
      <c r="P61" s="260"/>
      <c r="Q61" s="276">
        <v>452407377</v>
      </c>
      <c r="R61" s="274"/>
      <c r="S61" s="274"/>
      <c r="T61" s="274"/>
      <c r="U61" s="277"/>
      <c r="V61" s="276">
        <f aca="true" t="shared" si="25" ref="V61:V69">SUM(Q61:U61)</f>
        <v>452407377</v>
      </c>
      <c r="W61" s="274">
        <f aca="true" t="shared" si="26" ref="W61:W69">+O61-V61</f>
        <v>1717121623</v>
      </c>
      <c r="X61" s="242">
        <f t="shared" si="18"/>
        <v>0.20852792334188666</v>
      </c>
      <c r="Y61" s="298"/>
    </row>
    <row r="62" spans="1:25" ht="15.75">
      <c r="A62" s="2"/>
      <c r="B62" s="15" t="s">
        <v>46</v>
      </c>
      <c r="C62" s="274">
        <v>7202000</v>
      </c>
      <c r="D62" s="274"/>
      <c r="E62" s="274">
        <v>392000</v>
      </c>
      <c r="F62" s="274"/>
      <c r="G62" s="274"/>
      <c r="H62" s="274"/>
      <c r="I62" s="274"/>
      <c r="J62" s="274"/>
      <c r="K62" s="274"/>
      <c r="L62" s="274"/>
      <c r="M62" s="274"/>
      <c r="N62" s="274"/>
      <c r="O62" s="275">
        <f t="shared" si="24"/>
        <v>7594000</v>
      </c>
      <c r="P62" s="260"/>
      <c r="Q62" s="276">
        <v>1360800</v>
      </c>
      <c r="R62" s="274"/>
      <c r="S62" s="274"/>
      <c r="T62" s="274"/>
      <c r="U62" s="277"/>
      <c r="V62" s="276">
        <f t="shared" si="25"/>
        <v>1360800</v>
      </c>
      <c r="W62" s="274">
        <f t="shared" si="26"/>
        <v>6233200</v>
      </c>
      <c r="X62" s="242">
        <f t="shared" si="18"/>
        <v>0.17919410060574137</v>
      </c>
      <c r="Y62" s="298"/>
    </row>
    <row r="63" spans="1:25" ht="15.75">
      <c r="A63" s="2"/>
      <c r="B63" s="15" t="s">
        <v>26</v>
      </c>
      <c r="C63" s="274">
        <v>87311000</v>
      </c>
      <c r="D63" s="274"/>
      <c r="E63" s="274">
        <v>2452000</v>
      </c>
      <c r="F63" s="274"/>
      <c r="G63" s="274"/>
      <c r="H63" s="274"/>
      <c r="I63" s="274"/>
      <c r="J63" s="274"/>
      <c r="K63" s="274"/>
      <c r="L63" s="274"/>
      <c r="M63" s="274"/>
      <c r="N63" s="274"/>
      <c r="O63" s="275">
        <f t="shared" si="24"/>
        <v>89763000</v>
      </c>
      <c r="P63" s="260"/>
      <c r="Q63" s="276">
        <v>18697713</v>
      </c>
      <c r="R63" s="274"/>
      <c r="S63" s="274"/>
      <c r="T63" s="274"/>
      <c r="U63" s="277"/>
      <c r="V63" s="276">
        <f t="shared" si="25"/>
        <v>18697713</v>
      </c>
      <c r="W63" s="274">
        <f t="shared" si="26"/>
        <v>71065287</v>
      </c>
      <c r="X63" s="242">
        <f t="shared" si="18"/>
        <v>0.2083008923498546</v>
      </c>
      <c r="Y63" s="298"/>
    </row>
    <row r="64" spans="1:25" ht="15.75">
      <c r="A64" s="2"/>
      <c r="B64" s="15" t="s">
        <v>27</v>
      </c>
      <c r="C64" s="274">
        <v>175206000</v>
      </c>
      <c r="D64" s="274"/>
      <c r="E64" s="274">
        <v>4939000</v>
      </c>
      <c r="F64" s="274"/>
      <c r="G64" s="274"/>
      <c r="H64" s="274"/>
      <c r="I64" s="274"/>
      <c r="J64" s="274"/>
      <c r="K64" s="274"/>
      <c r="L64" s="274"/>
      <c r="M64" s="274"/>
      <c r="N64" s="274"/>
      <c r="O64" s="275">
        <f t="shared" si="24"/>
        <v>180145000</v>
      </c>
      <c r="P64" s="260"/>
      <c r="Q64" s="276">
        <v>37508841</v>
      </c>
      <c r="R64" s="274"/>
      <c r="S64" s="274"/>
      <c r="T64" s="274"/>
      <c r="U64" s="277"/>
      <c r="V64" s="276">
        <f t="shared" si="25"/>
        <v>37508841</v>
      </c>
      <c r="W64" s="274">
        <f t="shared" si="26"/>
        <v>142636159</v>
      </c>
      <c r="X64" s="242">
        <f t="shared" si="18"/>
        <v>0.20821472147436787</v>
      </c>
      <c r="Y64" s="298"/>
    </row>
    <row r="65" spans="1:25" ht="15.75">
      <c r="A65" s="2"/>
      <c r="B65" s="15" t="s">
        <v>29</v>
      </c>
      <c r="C65" s="274">
        <v>175206000</v>
      </c>
      <c r="D65" s="274"/>
      <c r="E65" s="274">
        <v>4939000</v>
      </c>
      <c r="F65" s="274"/>
      <c r="G65" s="274"/>
      <c r="H65" s="274"/>
      <c r="I65" s="274"/>
      <c r="J65" s="274"/>
      <c r="K65" s="274"/>
      <c r="L65" s="274"/>
      <c r="M65" s="274"/>
      <c r="N65" s="274"/>
      <c r="O65" s="275">
        <f t="shared" si="24"/>
        <v>180145000</v>
      </c>
      <c r="P65" s="260"/>
      <c r="Q65" s="276">
        <v>37508841</v>
      </c>
      <c r="R65" s="274"/>
      <c r="S65" s="274"/>
      <c r="T65" s="274"/>
      <c r="U65" s="277"/>
      <c r="V65" s="276">
        <f t="shared" si="25"/>
        <v>37508841</v>
      </c>
      <c r="W65" s="274">
        <f t="shared" si="26"/>
        <v>142636159</v>
      </c>
      <c r="X65" s="242">
        <f t="shared" si="18"/>
        <v>0.20821472147436787</v>
      </c>
      <c r="Y65" s="298"/>
    </row>
    <row r="66" spans="1:25" ht="15.75">
      <c r="A66" s="2"/>
      <c r="B66" s="15" t="s">
        <v>30</v>
      </c>
      <c r="C66" s="274">
        <v>21036000</v>
      </c>
      <c r="D66" s="274"/>
      <c r="E66" s="274">
        <v>601000</v>
      </c>
      <c r="F66" s="274"/>
      <c r="G66" s="274"/>
      <c r="H66" s="274"/>
      <c r="I66" s="274"/>
      <c r="J66" s="274"/>
      <c r="K66" s="274"/>
      <c r="L66" s="274"/>
      <c r="M66" s="274"/>
      <c r="N66" s="274"/>
      <c r="O66" s="275">
        <f t="shared" si="24"/>
        <v>21637000</v>
      </c>
      <c r="P66" s="260"/>
      <c r="Q66" s="276">
        <v>984451</v>
      </c>
      <c r="R66" s="274"/>
      <c r="S66" s="274"/>
      <c r="T66" s="274"/>
      <c r="U66" s="277"/>
      <c r="V66" s="276">
        <f t="shared" si="25"/>
        <v>984451</v>
      </c>
      <c r="W66" s="274">
        <f t="shared" si="26"/>
        <v>20652549</v>
      </c>
      <c r="X66" s="242">
        <f t="shared" si="18"/>
        <v>0.0454984979433378</v>
      </c>
      <c r="Y66" s="298"/>
    </row>
    <row r="67" spans="1:25" ht="18" customHeight="1">
      <c r="A67" s="2"/>
      <c r="B67" s="15" t="s">
        <v>31</v>
      </c>
      <c r="C67" s="274">
        <v>495901000</v>
      </c>
      <c r="D67" s="274"/>
      <c r="E67" s="274">
        <v>13956000</v>
      </c>
      <c r="F67" s="274"/>
      <c r="G67" s="274"/>
      <c r="H67" s="274"/>
      <c r="I67" s="274"/>
      <c r="J67" s="274"/>
      <c r="K67" s="274"/>
      <c r="L67" s="274"/>
      <c r="M67" s="274"/>
      <c r="N67" s="274"/>
      <c r="O67" s="275">
        <f t="shared" si="24"/>
        <v>509857000</v>
      </c>
      <c r="P67" s="260"/>
      <c r="Q67" s="276">
        <v>105527875</v>
      </c>
      <c r="R67" s="274"/>
      <c r="S67" s="274"/>
      <c r="T67" s="274"/>
      <c r="U67" s="277"/>
      <c r="V67" s="276">
        <f t="shared" si="25"/>
        <v>105527875</v>
      </c>
      <c r="W67" s="274">
        <f t="shared" si="26"/>
        <v>404329125</v>
      </c>
      <c r="X67" s="242">
        <f t="shared" si="18"/>
        <v>0.206975436249772</v>
      </c>
      <c r="Y67" s="298"/>
    </row>
    <row r="68" spans="1:25" ht="15.75">
      <c r="A68" s="2"/>
      <c r="B68" s="15" t="s">
        <v>32</v>
      </c>
      <c r="C68" s="274">
        <v>87311000</v>
      </c>
      <c r="D68" s="274"/>
      <c r="E68" s="274">
        <v>2452000</v>
      </c>
      <c r="F68" s="274"/>
      <c r="G68" s="274"/>
      <c r="H68" s="274"/>
      <c r="I68" s="274"/>
      <c r="J68" s="274"/>
      <c r="K68" s="274"/>
      <c r="L68" s="274"/>
      <c r="M68" s="274"/>
      <c r="N68" s="274"/>
      <c r="O68" s="275">
        <f t="shared" si="24"/>
        <v>89763000</v>
      </c>
      <c r="P68" s="260"/>
      <c r="Q68" s="276">
        <v>17951100</v>
      </c>
      <c r="R68" s="274"/>
      <c r="S68" s="274"/>
      <c r="T68" s="274"/>
      <c r="U68" s="277"/>
      <c r="V68" s="276">
        <f t="shared" si="25"/>
        <v>17951100</v>
      </c>
      <c r="W68" s="274">
        <f t="shared" si="26"/>
        <v>71811900</v>
      </c>
      <c r="X68" s="242">
        <f t="shared" si="18"/>
        <v>0.1999832893285652</v>
      </c>
      <c r="Y68" s="298"/>
    </row>
    <row r="69" spans="1:25" ht="15.75">
      <c r="A69" s="2"/>
      <c r="B69" s="15" t="s">
        <v>268</v>
      </c>
      <c r="C69" s="274">
        <v>65500000</v>
      </c>
      <c r="D69" s="274"/>
      <c r="E69" s="274">
        <v>1842000</v>
      </c>
      <c r="F69" s="274"/>
      <c r="G69" s="274"/>
      <c r="H69" s="274"/>
      <c r="I69" s="274"/>
      <c r="J69" s="274"/>
      <c r="K69" s="274"/>
      <c r="L69" s="274"/>
      <c r="M69" s="274"/>
      <c r="N69" s="274"/>
      <c r="O69" s="275">
        <f t="shared" si="24"/>
        <v>67342000</v>
      </c>
      <c r="P69" s="260"/>
      <c r="Q69" s="276">
        <v>13463500</v>
      </c>
      <c r="R69" s="274"/>
      <c r="S69" s="274"/>
      <c r="T69" s="274"/>
      <c r="U69" s="277"/>
      <c r="V69" s="276">
        <f t="shared" si="25"/>
        <v>13463500</v>
      </c>
      <c r="W69" s="274">
        <f t="shared" si="26"/>
        <v>53878500</v>
      </c>
      <c r="X69" s="242">
        <f t="shared" si="18"/>
        <v>0.19992723708829557</v>
      </c>
      <c r="Y69" s="298"/>
    </row>
    <row r="70" spans="1:25" ht="15.75">
      <c r="A70" s="2"/>
      <c r="B70" s="15" t="s">
        <v>269</v>
      </c>
      <c r="C70" s="274">
        <v>43669000</v>
      </c>
      <c r="D70" s="274"/>
      <c r="E70" s="274">
        <v>1231000</v>
      </c>
      <c r="F70" s="274"/>
      <c r="G70" s="274"/>
      <c r="H70" s="274"/>
      <c r="I70" s="274"/>
      <c r="J70" s="274"/>
      <c r="K70" s="274"/>
      <c r="L70" s="274"/>
      <c r="M70" s="274"/>
      <c r="N70" s="274"/>
      <c r="O70" s="275">
        <f t="shared" si="24"/>
        <v>44900000</v>
      </c>
      <c r="P70" s="260"/>
      <c r="Q70" s="276">
        <v>8976400</v>
      </c>
      <c r="R70" s="274"/>
      <c r="S70" s="274"/>
      <c r="T70" s="274"/>
      <c r="U70" s="277"/>
      <c r="V70" s="276">
        <f>SUM(Q70:U70)</f>
        <v>8976400</v>
      </c>
      <c r="W70" s="274">
        <f>+O70-V70</f>
        <v>35923600</v>
      </c>
      <c r="X70" s="242">
        <f>+V70/O70</f>
        <v>0.19991982182628062</v>
      </c>
      <c r="Y70" s="298"/>
    </row>
    <row r="71" spans="1:25" ht="15.75">
      <c r="A71" s="2"/>
      <c r="B71" s="15" t="s">
        <v>28</v>
      </c>
      <c r="C71" s="274">
        <v>7398048</v>
      </c>
      <c r="D71" s="274"/>
      <c r="E71" s="274">
        <v>208300</v>
      </c>
      <c r="F71" s="274"/>
      <c r="G71" s="274"/>
      <c r="H71" s="274"/>
      <c r="I71" s="274"/>
      <c r="J71" s="274"/>
      <c r="K71" s="274"/>
      <c r="L71" s="274"/>
      <c r="M71" s="274"/>
      <c r="N71" s="274"/>
      <c r="O71" s="275">
        <f t="shared" si="24"/>
        <v>7606348</v>
      </c>
      <c r="P71" s="260"/>
      <c r="Q71" s="276">
        <v>5524282</v>
      </c>
      <c r="R71" s="274"/>
      <c r="S71" s="274"/>
      <c r="T71" s="274"/>
      <c r="U71" s="277"/>
      <c r="V71" s="276">
        <f>SUM(Q71:U71)</f>
        <v>5524282</v>
      </c>
      <c r="W71" s="274">
        <f>+O71-V71</f>
        <v>2082066</v>
      </c>
      <c r="X71" s="242">
        <f>+V71/O71</f>
        <v>0.7262725817961524</v>
      </c>
      <c r="Y71" s="298"/>
    </row>
    <row r="72" spans="1:25" ht="15.75">
      <c r="A72" s="2"/>
      <c r="B72" s="15" t="s">
        <v>270</v>
      </c>
      <c r="C72" s="274">
        <v>0</v>
      </c>
      <c r="D72" s="274"/>
      <c r="E72" s="274"/>
      <c r="F72" s="274"/>
      <c r="G72" s="274"/>
      <c r="H72" s="274"/>
      <c r="I72" s="274"/>
      <c r="J72" s="274"/>
      <c r="K72" s="274"/>
      <c r="L72" s="274"/>
      <c r="M72" s="274"/>
      <c r="N72" s="274"/>
      <c r="O72" s="275">
        <f t="shared" si="24"/>
        <v>0</v>
      </c>
      <c r="P72" s="260"/>
      <c r="Q72" s="276"/>
      <c r="R72" s="274"/>
      <c r="S72" s="274"/>
      <c r="T72" s="274"/>
      <c r="U72" s="277"/>
      <c r="V72" s="276"/>
      <c r="W72" s="274"/>
      <c r="X72" s="242"/>
      <c r="Y72" s="298"/>
    </row>
    <row r="73" spans="2:25" ht="15.75">
      <c r="B73" s="15" t="s">
        <v>9</v>
      </c>
      <c r="C73" s="263">
        <v>905457302</v>
      </c>
      <c r="D73" s="263"/>
      <c r="E73" s="263">
        <v>152200</v>
      </c>
      <c r="F73" s="263"/>
      <c r="G73" s="263">
        <v>-905609502</v>
      </c>
      <c r="H73" s="263"/>
      <c r="I73" s="263"/>
      <c r="J73" s="263"/>
      <c r="K73" s="263"/>
      <c r="L73" s="263"/>
      <c r="M73" s="263"/>
      <c r="N73" s="263"/>
      <c r="O73" s="264">
        <f t="shared" si="24"/>
        <v>0</v>
      </c>
      <c r="P73" s="260"/>
      <c r="Q73" s="265">
        <v>130194336</v>
      </c>
      <c r="R73" s="263"/>
      <c r="S73" s="263"/>
      <c r="T73" s="263"/>
      <c r="U73" s="266"/>
      <c r="V73" s="265">
        <f>SUM(Q73:U73)</f>
        <v>130194336</v>
      </c>
      <c r="W73" s="263">
        <f>+O73-V73</f>
        <v>-130194336</v>
      </c>
      <c r="X73" s="245" t="e">
        <f>+V73/O73</f>
        <v>#DIV/0!</v>
      </c>
      <c r="Y73" s="298"/>
    </row>
    <row r="74" spans="1:25" ht="15.75">
      <c r="A74" s="2"/>
      <c r="B74" s="13" t="s">
        <v>10</v>
      </c>
      <c r="C74" s="267">
        <f>SUM(C75:C95)</f>
        <v>2920335479</v>
      </c>
      <c r="D74" s="267">
        <f aca="true" t="shared" si="27" ref="D74:O74">SUM(D75:D95)</f>
        <v>0</v>
      </c>
      <c r="E74" s="267">
        <f t="shared" si="27"/>
        <v>1813076</v>
      </c>
      <c r="F74" s="267">
        <f t="shared" si="27"/>
        <v>0</v>
      </c>
      <c r="G74" s="267">
        <f t="shared" si="27"/>
        <v>905609502</v>
      </c>
      <c r="H74" s="267">
        <f t="shared" si="27"/>
        <v>0</v>
      </c>
      <c r="I74" s="267">
        <f t="shared" si="27"/>
        <v>0</v>
      </c>
      <c r="J74" s="267">
        <f t="shared" si="27"/>
        <v>0</v>
      </c>
      <c r="K74" s="267">
        <f t="shared" si="27"/>
        <v>0</v>
      </c>
      <c r="L74" s="267">
        <f t="shared" si="27"/>
        <v>0</v>
      </c>
      <c r="M74" s="267">
        <f t="shared" si="27"/>
        <v>0</v>
      </c>
      <c r="N74" s="267">
        <f t="shared" si="27"/>
        <v>0</v>
      </c>
      <c r="O74" s="268">
        <f t="shared" si="27"/>
        <v>3827758057</v>
      </c>
      <c r="P74" s="260"/>
      <c r="Q74" s="269">
        <f aca="true" t="shared" si="28" ref="Q74:W74">SUM(Q75:Q95)</f>
        <v>519333100</v>
      </c>
      <c r="R74" s="267">
        <f t="shared" si="28"/>
        <v>0</v>
      </c>
      <c r="S74" s="267">
        <f t="shared" si="28"/>
        <v>0</v>
      </c>
      <c r="T74" s="267">
        <f t="shared" si="28"/>
        <v>0</v>
      </c>
      <c r="U74" s="270">
        <f t="shared" si="28"/>
        <v>0</v>
      </c>
      <c r="V74" s="269">
        <f t="shared" si="28"/>
        <v>320602844</v>
      </c>
      <c r="W74" s="267">
        <f t="shared" si="28"/>
        <v>2656577531</v>
      </c>
      <c r="X74" s="244">
        <f t="shared" si="18"/>
        <v>0.08375734286907152</v>
      </c>
      <c r="Y74" s="298"/>
    </row>
    <row r="75" spans="1:25" ht="15.75">
      <c r="A75" s="2"/>
      <c r="B75" s="25" t="s">
        <v>9</v>
      </c>
      <c r="C75" s="274"/>
      <c r="D75" s="274"/>
      <c r="E75" s="274"/>
      <c r="F75" s="274"/>
      <c r="G75" s="274">
        <v>905609502</v>
      </c>
      <c r="H75" s="274"/>
      <c r="I75" s="274"/>
      <c r="J75" s="274"/>
      <c r="K75" s="274"/>
      <c r="L75" s="274"/>
      <c r="M75" s="274"/>
      <c r="N75" s="274"/>
      <c r="O75" s="275">
        <f aca="true" t="shared" si="29" ref="O75:O95">SUM(C75:N75)</f>
        <v>905609502</v>
      </c>
      <c r="P75" s="260"/>
      <c r="Q75" s="276">
        <v>0</v>
      </c>
      <c r="R75" s="274"/>
      <c r="S75" s="274"/>
      <c r="T75" s="274"/>
      <c r="U75" s="277"/>
      <c r="V75" s="276">
        <f>SUM(Q75:U75)</f>
        <v>0</v>
      </c>
      <c r="W75" s="274">
        <f>+O75-V75</f>
        <v>905609502</v>
      </c>
      <c r="X75" s="242">
        <f t="shared" si="18"/>
        <v>0</v>
      </c>
      <c r="Y75" s="298"/>
    </row>
    <row r="76" spans="2:27" s="2" customFormat="1" ht="15.75">
      <c r="B76" s="25" t="s">
        <v>265</v>
      </c>
      <c r="C76" s="274">
        <v>0</v>
      </c>
      <c r="D76" s="274"/>
      <c r="E76" s="274">
        <v>0</v>
      </c>
      <c r="F76" s="274"/>
      <c r="G76" s="274"/>
      <c r="H76" s="274"/>
      <c r="I76" s="274">
        <v>10000000</v>
      </c>
      <c r="J76" s="274"/>
      <c r="K76" s="274"/>
      <c r="L76" s="274"/>
      <c r="M76" s="274"/>
      <c r="N76" s="274"/>
      <c r="O76" s="275">
        <f t="shared" si="29"/>
        <v>10000000</v>
      </c>
      <c r="P76" s="260"/>
      <c r="Q76" s="276">
        <v>0</v>
      </c>
      <c r="R76" s="274"/>
      <c r="S76" s="274"/>
      <c r="T76" s="274"/>
      <c r="U76" s="277"/>
      <c r="V76" s="276">
        <f>SUM(Q76:U76)</f>
        <v>0</v>
      </c>
      <c r="W76" s="274">
        <f>+O76-V76</f>
        <v>10000000</v>
      </c>
      <c r="X76" s="242">
        <f>+V76/O76</f>
        <v>0</v>
      </c>
      <c r="Y76" s="298"/>
      <c r="Z76" s="34"/>
      <c r="AA76" s="34"/>
    </row>
    <row r="77" spans="2:27" s="2" customFormat="1" ht="15.75">
      <c r="B77" s="14" t="s">
        <v>291</v>
      </c>
      <c r="C77" s="274">
        <v>211963460</v>
      </c>
      <c r="D77" s="274"/>
      <c r="E77" s="274">
        <v>8394</v>
      </c>
      <c r="F77" s="274"/>
      <c r="G77" s="274"/>
      <c r="H77" s="274"/>
      <c r="I77" s="274"/>
      <c r="J77" s="274"/>
      <c r="K77" s="274"/>
      <c r="L77" s="274"/>
      <c r="M77" s="274"/>
      <c r="N77" s="274"/>
      <c r="O77" s="275">
        <f t="shared" si="29"/>
        <v>211971854</v>
      </c>
      <c r="P77" s="260"/>
      <c r="Q77" s="276">
        <v>2732241</v>
      </c>
      <c r="R77" s="274"/>
      <c r="S77" s="274"/>
      <c r="T77" s="274"/>
      <c r="U77" s="277"/>
      <c r="V77" s="276">
        <f>SUM(Q77:U77)</f>
        <v>2732241</v>
      </c>
      <c r="W77" s="274">
        <f>+O77-V77</f>
        <v>209239613</v>
      </c>
      <c r="X77" s="242">
        <f>+V77/O77</f>
        <v>0.012889640527463614</v>
      </c>
      <c r="Y77" s="298"/>
      <c r="Z77" s="34"/>
      <c r="AA77" s="34"/>
    </row>
    <row r="78" spans="2:27" s="2" customFormat="1" ht="15.75">
      <c r="B78" s="25" t="s">
        <v>76</v>
      </c>
      <c r="C78" s="274">
        <v>40998475</v>
      </c>
      <c r="D78" s="274"/>
      <c r="E78" s="274">
        <v>39555</v>
      </c>
      <c r="F78" s="274"/>
      <c r="G78" s="274"/>
      <c r="H78" s="274"/>
      <c r="I78" s="274"/>
      <c r="J78" s="274"/>
      <c r="K78" s="274"/>
      <c r="L78" s="274"/>
      <c r="M78" s="274"/>
      <c r="N78" s="274"/>
      <c r="O78" s="275">
        <f t="shared" si="29"/>
        <v>41038030</v>
      </c>
      <c r="P78" s="260"/>
      <c r="Q78" s="276">
        <v>1832600</v>
      </c>
      <c r="R78" s="274"/>
      <c r="S78" s="274"/>
      <c r="T78" s="274"/>
      <c r="U78" s="277"/>
      <c r="V78" s="276">
        <f>SUM(Q78:U78)</f>
        <v>1832600</v>
      </c>
      <c r="W78" s="274">
        <f>+O78-V78</f>
        <v>39205430</v>
      </c>
      <c r="X78" s="242">
        <f>+V78/O78</f>
        <v>0.044656139683118316</v>
      </c>
      <c r="Y78" s="298"/>
      <c r="Z78" s="34"/>
      <c r="AA78" s="34"/>
    </row>
    <row r="79" spans="1:25" ht="15.75">
      <c r="A79" s="2"/>
      <c r="B79" s="25" t="s">
        <v>271</v>
      </c>
      <c r="C79" s="274"/>
      <c r="D79" s="274"/>
      <c r="E79" s="274"/>
      <c r="F79" s="274"/>
      <c r="G79" s="274"/>
      <c r="H79" s="274"/>
      <c r="I79" s="274"/>
      <c r="J79" s="274"/>
      <c r="K79" s="274"/>
      <c r="L79" s="274"/>
      <c r="M79" s="274"/>
      <c r="N79" s="274"/>
      <c r="O79" s="275">
        <f t="shared" si="29"/>
        <v>0</v>
      </c>
      <c r="P79" s="260"/>
      <c r="Q79" s="276"/>
      <c r="R79" s="274"/>
      <c r="S79" s="274"/>
      <c r="T79" s="274"/>
      <c r="U79" s="277"/>
      <c r="V79" s="276"/>
      <c r="W79" s="274"/>
      <c r="X79" s="242"/>
      <c r="Y79" s="298"/>
    </row>
    <row r="80" spans="1:25" ht="15.75">
      <c r="A80" s="2"/>
      <c r="B80" s="25" t="s">
        <v>33</v>
      </c>
      <c r="C80" s="274">
        <v>89970132</v>
      </c>
      <c r="D80" s="274"/>
      <c r="E80" s="274">
        <v>40920</v>
      </c>
      <c r="F80" s="274"/>
      <c r="G80" s="274"/>
      <c r="H80" s="274"/>
      <c r="I80" s="274">
        <v>-10000000</v>
      </c>
      <c r="J80" s="274"/>
      <c r="K80" s="274"/>
      <c r="L80" s="274"/>
      <c r="M80" s="274"/>
      <c r="N80" s="274"/>
      <c r="O80" s="275">
        <f t="shared" si="29"/>
        <v>80011052</v>
      </c>
      <c r="P80" s="260"/>
      <c r="Q80" s="276">
        <v>8626628</v>
      </c>
      <c r="R80" s="274"/>
      <c r="S80" s="274"/>
      <c r="T80" s="274"/>
      <c r="U80" s="277"/>
      <c r="V80" s="276">
        <f>SUM(Q80:U80)</f>
        <v>8626628</v>
      </c>
      <c r="W80" s="274">
        <f>+O80-V80</f>
        <v>71384424</v>
      </c>
      <c r="X80" s="242">
        <f>+V80/O80</f>
        <v>0.10781795494952372</v>
      </c>
      <c r="Y80" s="298"/>
    </row>
    <row r="81" spans="2:27" s="2" customFormat="1" ht="15.75">
      <c r="B81" s="25" t="s">
        <v>272</v>
      </c>
      <c r="C81" s="274">
        <v>137592192</v>
      </c>
      <c r="D81" s="274"/>
      <c r="E81" s="274">
        <v>76020</v>
      </c>
      <c r="F81" s="274"/>
      <c r="G81" s="274"/>
      <c r="H81" s="274"/>
      <c r="I81" s="274"/>
      <c r="J81" s="274"/>
      <c r="K81" s="274"/>
      <c r="L81" s="274"/>
      <c r="M81" s="274"/>
      <c r="N81" s="274"/>
      <c r="O81" s="275">
        <f t="shared" si="29"/>
        <v>137668212</v>
      </c>
      <c r="P81" s="260"/>
      <c r="Q81" s="276">
        <v>16417053</v>
      </c>
      <c r="R81" s="274"/>
      <c r="S81" s="274"/>
      <c r="T81" s="274"/>
      <c r="U81" s="277"/>
      <c r="V81" s="276">
        <f>SUM(Q81:U81)</f>
        <v>16417053</v>
      </c>
      <c r="W81" s="274">
        <f>+O81-V81</f>
        <v>121251159</v>
      </c>
      <c r="X81" s="242">
        <f>+V81/O81</f>
        <v>0.11925086235593733</v>
      </c>
      <c r="Y81" s="298"/>
      <c r="Z81" s="34"/>
      <c r="AA81" s="34"/>
    </row>
    <row r="82" spans="1:25" ht="15.75">
      <c r="A82" s="2"/>
      <c r="B82" s="25" t="s">
        <v>5</v>
      </c>
      <c r="C82" s="274">
        <v>778921449</v>
      </c>
      <c r="D82" s="274"/>
      <c r="E82" s="274">
        <v>573024</v>
      </c>
      <c r="F82" s="274"/>
      <c r="G82" s="274"/>
      <c r="H82" s="274"/>
      <c r="I82" s="274"/>
      <c r="J82" s="274"/>
      <c r="K82" s="274"/>
      <c r="L82" s="274"/>
      <c r="M82" s="274"/>
      <c r="N82" s="274"/>
      <c r="O82" s="275">
        <f t="shared" si="29"/>
        <v>779494473</v>
      </c>
      <c r="P82" s="260"/>
      <c r="Q82" s="276">
        <v>105802783</v>
      </c>
      <c r="R82" s="274"/>
      <c r="S82" s="274"/>
      <c r="T82" s="274"/>
      <c r="U82" s="277"/>
      <c r="V82" s="276">
        <f>SUM(Q82:U82)</f>
        <v>105802783</v>
      </c>
      <c r="W82" s="274">
        <f>+O82-V82</f>
        <v>673691690</v>
      </c>
      <c r="X82" s="242">
        <f>+V82/O82</f>
        <v>0.1357325634302477</v>
      </c>
      <c r="Y82" s="298"/>
    </row>
    <row r="83" spans="2:27" s="2" customFormat="1" ht="15.75">
      <c r="B83" s="14" t="s">
        <v>273</v>
      </c>
      <c r="C83" s="274">
        <v>13400000</v>
      </c>
      <c r="D83" s="274"/>
      <c r="E83" s="274">
        <f>+'[5]ITPA'!$F$36</f>
        <v>0</v>
      </c>
      <c r="F83" s="274"/>
      <c r="G83" s="274"/>
      <c r="H83" s="274"/>
      <c r="I83" s="274"/>
      <c r="J83" s="274"/>
      <c r="K83" s="274"/>
      <c r="L83" s="274"/>
      <c r="M83" s="274"/>
      <c r="N83" s="274"/>
      <c r="O83" s="275">
        <f t="shared" si="29"/>
        <v>13400000</v>
      </c>
      <c r="P83" s="260"/>
      <c r="Q83" s="276">
        <v>0</v>
      </c>
      <c r="R83" s="274"/>
      <c r="S83" s="274"/>
      <c r="T83" s="274"/>
      <c r="U83" s="277"/>
      <c r="V83" s="276">
        <f>SUM(Q83:U83)</f>
        <v>0</v>
      </c>
      <c r="W83" s="274">
        <f>+O83-V83</f>
        <v>13400000</v>
      </c>
      <c r="X83" s="242">
        <f>+V83/O83</f>
        <v>0</v>
      </c>
      <c r="Y83" s="298"/>
      <c r="Z83" s="34"/>
      <c r="AA83" s="34"/>
    </row>
    <row r="84" spans="1:25" ht="15.75">
      <c r="A84" s="2"/>
      <c r="B84" s="25" t="s">
        <v>274</v>
      </c>
      <c r="C84" s="274"/>
      <c r="D84" s="274"/>
      <c r="E84" s="274"/>
      <c r="F84" s="274"/>
      <c r="G84" s="274"/>
      <c r="H84" s="274"/>
      <c r="I84" s="274"/>
      <c r="J84" s="274"/>
      <c r="K84" s="274"/>
      <c r="L84" s="274"/>
      <c r="M84" s="274"/>
      <c r="N84" s="274"/>
      <c r="O84" s="275">
        <f t="shared" si="29"/>
        <v>0</v>
      </c>
      <c r="P84" s="260"/>
      <c r="Q84" s="276"/>
      <c r="R84" s="274"/>
      <c r="S84" s="274"/>
      <c r="T84" s="274"/>
      <c r="U84" s="277"/>
      <c r="V84" s="276"/>
      <c r="W84" s="274"/>
      <c r="X84" s="242"/>
      <c r="Y84" s="298"/>
    </row>
    <row r="85" spans="1:25" ht="15.75">
      <c r="A85" s="2"/>
      <c r="B85" s="25" t="s">
        <v>275</v>
      </c>
      <c r="C85" s="274">
        <v>23318448</v>
      </c>
      <c r="D85" s="274"/>
      <c r="E85" s="274">
        <v>15204</v>
      </c>
      <c r="F85" s="274"/>
      <c r="G85" s="274"/>
      <c r="H85" s="274"/>
      <c r="I85" s="274"/>
      <c r="J85" s="274"/>
      <c r="K85" s="274"/>
      <c r="L85" s="274"/>
      <c r="M85" s="274"/>
      <c r="N85" s="274"/>
      <c r="O85" s="275">
        <f t="shared" si="29"/>
        <v>23333652</v>
      </c>
      <c r="P85" s="260"/>
      <c r="Q85" s="276">
        <v>4749506</v>
      </c>
      <c r="R85" s="274"/>
      <c r="S85" s="274"/>
      <c r="T85" s="274"/>
      <c r="U85" s="277"/>
      <c r="V85" s="276">
        <f>SUM(Q85:U85)</f>
        <v>4749506</v>
      </c>
      <c r="W85" s="274">
        <f>+O85-V85</f>
        <v>18584146</v>
      </c>
      <c r="X85" s="242">
        <f>+V85/O85</f>
        <v>0.2035474772658819</v>
      </c>
      <c r="Y85" s="298"/>
    </row>
    <row r="86" spans="2:27" s="2" customFormat="1" ht="15.75">
      <c r="B86" s="25" t="s">
        <v>35</v>
      </c>
      <c r="C86" s="274">
        <v>80210352</v>
      </c>
      <c r="D86" s="274"/>
      <c r="E86" s="274">
        <v>118452</v>
      </c>
      <c r="F86" s="274"/>
      <c r="G86" s="274"/>
      <c r="H86" s="274"/>
      <c r="I86" s="274"/>
      <c r="J86" s="274"/>
      <c r="K86" s="274"/>
      <c r="L86" s="274"/>
      <c r="M86" s="274"/>
      <c r="N86" s="274"/>
      <c r="O86" s="275">
        <f t="shared" si="29"/>
        <v>80328804</v>
      </c>
      <c r="P86" s="260"/>
      <c r="Q86" s="276">
        <v>22149153</v>
      </c>
      <c r="R86" s="274"/>
      <c r="S86" s="274"/>
      <c r="T86" s="274"/>
      <c r="U86" s="277"/>
      <c r="V86" s="276">
        <f>SUM(Q86:U86)</f>
        <v>22149153</v>
      </c>
      <c r="W86" s="274">
        <f>+O86-V86</f>
        <v>58179651</v>
      </c>
      <c r="X86" s="242">
        <f>+V86/O86</f>
        <v>0.2757311437127833</v>
      </c>
      <c r="Y86" s="298"/>
      <c r="Z86" s="34"/>
      <c r="AA86" s="34"/>
    </row>
    <row r="87" spans="2:25" ht="15.75">
      <c r="B87" s="15" t="s">
        <v>77</v>
      </c>
      <c r="C87" s="263">
        <v>5310287</v>
      </c>
      <c r="D87" s="263"/>
      <c r="E87" s="263">
        <v>9402</v>
      </c>
      <c r="F87" s="263"/>
      <c r="G87" s="263"/>
      <c r="H87" s="263"/>
      <c r="I87" s="263"/>
      <c r="J87" s="263"/>
      <c r="K87" s="263"/>
      <c r="L87" s="263"/>
      <c r="M87" s="263"/>
      <c r="N87" s="263"/>
      <c r="O87" s="264">
        <f t="shared" si="29"/>
        <v>5319689</v>
      </c>
      <c r="P87" s="260"/>
      <c r="Q87" s="276">
        <v>1193374</v>
      </c>
      <c r="R87" s="274"/>
      <c r="S87" s="274"/>
      <c r="T87" s="274"/>
      <c r="U87" s="277"/>
      <c r="V87" s="276">
        <f>SUM(Q87:U87)</f>
        <v>1193374</v>
      </c>
      <c r="W87" s="274">
        <f>+O87-V87</f>
        <v>4126315</v>
      </c>
      <c r="X87" s="242">
        <f>+V87/O87</f>
        <v>0.22433153517057106</v>
      </c>
      <c r="Y87" s="298"/>
    </row>
    <row r="88" spans="1:25" ht="15.75">
      <c r="A88" s="2"/>
      <c r="B88" s="25" t="s">
        <v>276</v>
      </c>
      <c r="C88" s="274">
        <v>204266062</v>
      </c>
      <c r="D88" s="274"/>
      <c r="E88" s="274">
        <v>230347</v>
      </c>
      <c r="F88" s="274"/>
      <c r="G88" s="274"/>
      <c r="H88" s="274"/>
      <c r="I88" s="274"/>
      <c r="J88" s="274"/>
      <c r="K88" s="274"/>
      <c r="L88" s="274"/>
      <c r="M88" s="274"/>
      <c r="N88" s="274"/>
      <c r="O88" s="275">
        <f t="shared" si="29"/>
        <v>204496409</v>
      </c>
      <c r="P88" s="260"/>
      <c r="Q88" s="276">
        <v>104520426</v>
      </c>
      <c r="R88" s="274"/>
      <c r="S88" s="274"/>
      <c r="T88" s="274"/>
      <c r="U88" s="277"/>
      <c r="V88" s="276">
        <f>SUM(Q88:U88)</f>
        <v>104520426</v>
      </c>
      <c r="W88" s="274">
        <f>+O88-V88</f>
        <v>99975983</v>
      </c>
      <c r="X88" s="242">
        <f>+V88/O88</f>
        <v>0.5111113026928507</v>
      </c>
      <c r="Y88" s="298"/>
    </row>
    <row r="89" spans="1:25" ht="15.75">
      <c r="A89" s="2"/>
      <c r="B89" s="25" t="s">
        <v>277</v>
      </c>
      <c r="C89" s="274"/>
      <c r="D89" s="274"/>
      <c r="E89" s="274"/>
      <c r="F89" s="274"/>
      <c r="G89" s="274"/>
      <c r="H89" s="274"/>
      <c r="I89" s="274"/>
      <c r="J89" s="274"/>
      <c r="K89" s="274"/>
      <c r="L89" s="274"/>
      <c r="M89" s="274"/>
      <c r="N89" s="274"/>
      <c r="O89" s="275">
        <f t="shared" si="29"/>
        <v>0</v>
      </c>
      <c r="P89" s="260"/>
      <c r="Q89" s="276"/>
      <c r="R89" s="274"/>
      <c r="S89" s="274"/>
      <c r="T89" s="274"/>
      <c r="U89" s="277"/>
      <c r="V89" s="276"/>
      <c r="W89" s="274"/>
      <c r="X89" s="242"/>
      <c r="Y89" s="298"/>
    </row>
    <row r="90" spans="1:25" ht="15.75">
      <c r="A90" s="2"/>
      <c r="B90" s="25" t="s">
        <v>282</v>
      </c>
      <c r="C90" s="274">
        <v>57086008</v>
      </c>
      <c r="D90" s="274"/>
      <c r="E90" s="274">
        <v>115890</v>
      </c>
      <c r="F90" s="274"/>
      <c r="G90" s="274"/>
      <c r="H90" s="274"/>
      <c r="I90" s="274"/>
      <c r="J90" s="274"/>
      <c r="K90" s="274"/>
      <c r="L90" s="274"/>
      <c r="M90" s="274"/>
      <c r="N90" s="274"/>
      <c r="O90" s="275">
        <f t="shared" si="29"/>
        <v>57201898</v>
      </c>
      <c r="P90" s="260"/>
      <c r="Q90" s="276">
        <v>43332780</v>
      </c>
      <c r="R90" s="274"/>
      <c r="S90" s="274"/>
      <c r="T90" s="274"/>
      <c r="U90" s="277"/>
      <c r="V90" s="276">
        <f>SUM(Q90:U90)</f>
        <v>43332780</v>
      </c>
      <c r="W90" s="274">
        <f>+O90-V90</f>
        <v>13869118</v>
      </c>
      <c r="X90" s="242">
        <f>+V90/O90</f>
        <v>0.7575409473301044</v>
      </c>
      <c r="Y90" s="298"/>
    </row>
    <row r="91" spans="1:25" ht="15.75">
      <c r="A91" s="2"/>
      <c r="B91" s="25" t="s">
        <v>283</v>
      </c>
      <c r="C91" s="274">
        <v>850008614</v>
      </c>
      <c r="D91" s="274"/>
      <c r="E91" s="274">
        <v>569068</v>
      </c>
      <c r="F91" s="274"/>
      <c r="G91" s="274"/>
      <c r="H91" s="274"/>
      <c r="I91" s="274"/>
      <c r="J91" s="274"/>
      <c r="K91" s="274"/>
      <c r="L91" s="274"/>
      <c r="M91" s="274"/>
      <c r="N91" s="274"/>
      <c r="O91" s="275">
        <f t="shared" si="29"/>
        <v>850577682</v>
      </c>
      <c r="P91" s="260"/>
      <c r="Q91" s="276">
        <v>198730256</v>
      </c>
      <c r="R91" s="274"/>
      <c r="S91" s="274"/>
      <c r="T91" s="274"/>
      <c r="U91" s="277"/>
      <c r="V91" s="276"/>
      <c r="W91" s="274"/>
      <c r="X91" s="242"/>
      <c r="Y91" s="298"/>
    </row>
    <row r="92" spans="1:25" ht="15.75">
      <c r="A92" s="2"/>
      <c r="B92" s="25" t="s">
        <v>285</v>
      </c>
      <c r="C92" s="274"/>
      <c r="D92" s="274"/>
      <c r="E92" s="274"/>
      <c r="F92" s="274"/>
      <c r="G92" s="274"/>
      <c r="H92" s="274"/>
      <c r="I92" s="274"/>
      <c r="J92" s="274"/>
      <c r="K92" s="274"/>
      <c r="L92" s="274"/>
      <c r="M92" s="274"/>
      <c r="N92" s="274"/>
      <c r="O92" s="275">
        <f t="shared" si="29"/>
        <v>0</v>
      </c>
      <c r="P92" s="260"/>
      <c r="Q92" s="276"/>
      <c r="R92" s="274"/>
      <c r="S92" s="274"/>
      <c r="T92" s="274"/>
      <c r="U92" s="277"/>
      <c r="V92" s="276"/>
      <c r="W92" s="274"/>
      <c r="X92" s="242"/>
      <c r="Y92" s="298"/>
    </row>
    <row r="93" spans="1:25" ht="15.75">
      <c r="A93" s="2"/>
      <c r="B93" s="25" t="s">
        <v>286</v>
      </c>
      <c r="C93" s="274">
        <v>427290000</v>
      </c>
      <c r="D93" s="274"/>
      <c r="E93" s="274">
        <v>16800</v>
      </c>
      <c r="F93" s="274"/>
      <c r="G93" s="274"/>
      <c r="H93" s="274"/>
      <c r="I93" s="274"/>
      <c r="J93" s="274"/>
      <c r="K93" s="274"/>
      <c r="L93" s="274"/>
      <c r="M93" s="274"/>
      <c r="N93" s="274"/>
      <c r="O93" s="275">
        <f t="shared" si="29"/>
        <v>427306800</v>
      </c>
      <c r="P93" s="260"/>
      <c r="Q93" s="276">
        <v>9246300</v>
      </c>
      <c r="R93" s="274"/>
      <c r="S93" s="274"/>
      <c r="T93" s="274"/>
      <c r="U93" s="277"/>
      <c r="V93" s="276">
        <f>SUM(Q93:U93)</f>
        <v>9246300</v>
      </c>
      <c r="W93" s="274">
        <f>+O93-V93</f>
        <v>418060500</v>
      </c>
      <c r="X93" s="242">
        <f>+V93/O93</f>
        <v>0.021638551036398203</v>
      </c>
      <c r="Y93" s="298"/>
    </row>
    <row r="94" spans="2:27" s="2" customFormat="1" ht="15.75">
      <c r="B94" s="25" t="s">
        <v>287</v>
      </c>
      <c r="C94" s="274">
        <v>0</v>
      </c>
      <c r="D94" s="274"/>
      <c r="E94" s="274">
        <v>0</v>
      </c>
      <c r="F94" s="274"/>
      <c r="G94" s="274"/>
      <c r="H94" s="274"/>
      <c r="I94" s="274"/>
      <c r="J94" s="274"/>
      <c r="K94" s="274"/>
      <c r="L94" s="274"/>
      <c r="M94" s="274"/>
      <c r="N94" s="274"/>
      <c r="O94" s="275">
        <f t="shared" si="29"/>
        <v>0</v>
      </c>
      <c r="P94" s="260"/>
      <c r="Q94" s="276">
        <v>0</v>
      </c>
      <c r="R94" s="274"/>
      <c r="S94" s="274"/>
      <c r="T94" s="274"/>
      <c r="U94" s="277"/>
      <c r="V94" s="276">
        <f>SUM(Q94:U94)</f>
        <v>0</v>
      </c>
      <c r="W94" s="274">
        <f>+O94-V94</f>
        <v>0</v>
      </c>
      <c r="X94" s="242" t="e">
        <f aca="true" t="shared" si="30" ref="X94:X121">+V94/O94</f>
        <v>#DIV/0!</v>
      </c>
      <c r="Y94" s="298"/>
      <c r="Z94" s="34"/>
      <c r="AA94" s="34"/>
    </row>
    <row r="95" spans="2:27" s="2" customFormat="1" ht="15.75">
      <c r="B95" s="25" t="s">
        <v>288</v>
      </c>
      <c r="C95" s="274">
        <v>0</v>
      </c>
      <c r="D95" s="274"/>
      <c r="E95" s="274">
        <v>0</v>
      </c>
      <c r="F95" s="274"/>
      <c r="G95" s="274"/>
      <c r="H95" s="274"/>
      <c r="I95" s="274"/>
      <c r="J95" s="274"/>
      <c r="K95" s="274"/>
      <c r="L95" s="274"/>
      <c r="M95" s="274"/>
      <c r="N95" s="274"/>
      <c r="O95" s="275">
        <f t="shared" si="29"/>
        <v>0</v>
      </c>
      <c r="P95" s="260"/>
      <c r="Q95" s="276">
        <v>0</v>
      </c>
      <c r="R95" s="274"/>
      <c r="S95" s="274"/>
      <c r="T95" s="274"/>
      <c r="U95" s="277"/>
      <c r="V95" s="276">
        <f>SUM(Q95:U95)</f>
        <v>0</v>
      </c>
      <c r="W95" s="274">
        <f>+O95-V95</f>
        <v>0</v>
      </c>
      <c r="X95" s="242" t="e">
        <f>+V95/O95</f>
        <v>#DIV/0!</v>
      </c>
      <c r="Y95" s="298"/>
      <c r="Z95" s="34"/>
      <c r="AA95" s="34"/>
    </row>
    <row r="96" spans="2:27" s="2" customFormat="1" ht="15.75">
      <c r="B96" s="13" t="s">
        <v>40</v>
      </c>
      <c r="C96" s="267">
        <f>+C97+C112+C118+C126+C128</f>
        <v>6663090637</v>
      </c>
      <c r="D96" s="267">
        <f>+D97+D112+D118+D126+D128</f>
        <v>0</v>
      </c>
      <c r="E96" s="267">
        <f>+E97+E112+E118+E126+E128</f>
        <v>2724983</v>
      </c>
      <c r="F96" s="267">
        <f aca="true" t="shared" si="31" ref="F96:O96">+F97+F112+F118+F126+F128</f>
        <v>0</v>
      </c>
      <c r="G96" s="267">
        <f>+G97+G112+G118+G126+G128</f>
        <v>0</v>
      </c>
      <c r="H96" s="267">
        <f t="shared" si="31"/>
        <v>0</v>
      </c>
      <c r="I96" s="267">
        <f t="shared" si="31"/>
        <v>0</v>
      </c>
      <c r="J96" s="267">
        <f t="shared" si="31"/>
        <v>0</v>
      </c>
      <c r="K96" s="267">
        <f t="shared" si="31"/>
        <v>0</v>
      </c>
      <c r="L96" s="267">
        <f t="shared" si="31"/>
        <v>0</v>
      </c>
      <c r="M96" s="267">
        <f t="shared" si="31"/>
        <v>0</v>
      </c>
      <c r="N96" s="267">
        <f t="shared" si="31"/>
        <v>0</v>
      </c>
      <c r="O96" s="268">
        <f t="shared" si="31"/>
        <v>6665815620</v>
      </c>
      <c r="P96" s="260"/>
      <c r="Q96" s="269">
        <f aca="true" t="shared" si="32" ref="Q96:V96">+Q97+Q112+Q118+Q126+Q128</f>
        <v>608085875</v>
      </c>
      <c r="R96" s="267">
        <f t="shared" si="32"/>
        <v>0</v>
      </c>
      <c r="S96" s="267">
        <f t="shared" si="32"/>
        <v>0</v>
      </c>
      <c r="T96" s="267">
        <f t="shared" si="32"/>
        <v>0</v>
      </c>
      <c r="U96" s="270">
        <f t="shared" si="32"/>
        <v>0</v>
      </c>
      <c r="V96" s="269">
        <f t="shared" si="32"/>
        <v>608085875</v>
      </c>
      <c r="W96" s="267">
        <f>+W97+W112+W118+W126+W128</f>
        <v>6057729745</v>
      </c>
      <c r="X96" s="244">
        <f t="shared" si="30"/>
        <v>0.09122452669940487</v>
      </c>
      <c r="Y96" s="298"/>
      <c r="Z96" s="34"/>
      <c r="AA96" s="34"/>
    </row>
    <row r="97" spans="2:27" s="2" customFormat="1" ht="15.75">
      <c r="B97" s="27" t="s">
        <v>117</v>
      </c>
      <c r="C97" s="267">
        <f>SUM(C98:C111)</f>
        <v>3611597000</v>
      </c>
      <c r="D97" s="267">
        <f>SUM(D98:D111)</f>
        <v>0</v>
      </c>
      <c r="E97" s="267">
        <f>SUM(E98:E111)</f>
        <v>266840</v>
      </c>
      <c r="F97" s="267">
        <f aca="true" t="shared" si="33" ref="F97:O97">SUM(F98:F111)</f>
        <v>0</v>
      </c>
      <c r="G97" s="267">
        <f>SUM(G98:G111)</f>
        <v>0</v>
      </c>
      <c r="H97" s="267">
        <f t="shared" si="33"/>
        <v>0</v>
      </c>
      <c r="I97" s="267">
        <f t="shared" si="33"/>
        <v>0</v>
      </c>
      <c r="J97" s="267">
        <f t="shared" si="33"/>
        <v>0</v>
      </c>
      <c r="K97" s="267">
        <f t="shared" si="33"/>
        <v>0</v>
      </c>
      <c r="L97" s="267">
        <f t="shared" si="33"/>
        <v>0</v>
      </c>
      <c r="M97" s="267">
        <f t="shared" si="33"/>
        <v>0</v>
      </c>
      <c r="N97" s="267">
        <f t="shared" si="33"/>
        <v>0</v>
      </c>
      <c r="O97" s="268">
        <f t="shared" si="33"/>
        <v>3611863840</v>
      </c>
      <c r="P97" s="260"/>
      <c r="Q97" s="269">
        <f aca="true" t="shared" si="34" ref="Q97:V97">SUM(Q98:Q111)</f>
        <v>226589235</v>
      </c>
      <c r="R97" s="267">
        <f t="shared" si="34"/>
        <v>0</v>
      </c>
      <c r="S97" s="267">
        <f t="shared" si="34"/>
        <v>0</v>
      </c>
      <c r="T97" s="267">
        <f t="shared" si="34"/>
        <v>0</v>
      </c>
      <c r="U97" s="270">
        <f t="shared" si="34"/>
        <v>0</v>
      </c>
      <c r="V97" s="269">
        <f t="shared" si="34"/>
        <v>226589235</v>
      </c>
      <c r="W97" s="267">
        <f>SUM(W98:W111)</f>
        <v>3385274605</v>
      </c>
      <c r="X97" s="244">
        <f t="shared" si="30"/>
        <v>0.06273471122875994</v>
      </c>
      <c r="Y97" s="298"/>
      <c r="AA97" s="34"/>
    </row>
    <row r="98" spans="2:27" s="2" customFormat="1" ht="15.75">
      <c r="B98" s="14" t="s">
        <v>120</v>
      </c>
      <c r="C98" s="274">
        <v>0</v>
      </c>
      <c r="D98" s="274"/>
      <c r="E98" s="274"/>
      <c r="F98" s="274"/>
      <c r="G98" s="274"/>
      <c r="H98" s="274"/>
      <c r="I98" s="274"/>
      <c r="J98" s="274"/>
      <c r="K98" s="274"/>
      <c r="L98" s="274"/>
      <c r="M98" s="274"/>
      <c r="N98" s="274"/>
      <c r="O98" s="275">
        <f aca="true" t="shared" si="35" ref="O98:O111">SUM(C98:N98)</f>
        <v>0</v>
      </c>
      <c r="P98" s="260"/>
      <c r="Q98" s="276">
        <v>0</v>
      </c>
      <c r="R98" s="274"/>
      <c r="S98" s="274"/>
      <c r="T98" s="274"/>
      <c r="U98" s="277"/>
      <c r="V98" s="276">
        <f aca="true" t="shared" si="36" ref="V98:V111">SUM(Q98:U98)</f>
        <v>0</v>
      </c>
      <c r="W98" s="274">
        <f aca="true" t="shared" si="37" ref="W98:W111">+O98-V98</f>
        <v>0</v>
      </c>
      <c r="X98" s="242" t="e">
        <f t="shared" si="30"/>
        <v>#DIV/0!</v>
      </c>
      <c r="Y98" s="298"/>
      <c r="Z98" s="34"/>
      <c r="AA98" s="34"/>
    </row>
    <row r="99" spans="2:27" s="2" customFormat="1" ht="15.75">
      <c r="B99" s="14" t="s">
        <v>151</v>
      </c>
      <c r="C99" s="274">
        <v>0</v>
      </c>
      <c r="D99" s="274"/>
      <c r="E99" s="274"/>
      <c r="F99" s="274"/>
      <c r="G99" s="274"/>
      <c r="H99" s="274"/>
      <c r="I99" s="274"/>
      <c r="J99" s="274"/>
      <c r="K99" s="274"/>
      <c r="L99" s="274"/>
      <c r="M99" s="274"/>
      <c r="N99" s="274"/>
      <c r="O99" s="275">
        <f t="shared" si="35"/>
        <v>0</v>
      </c>
      <c r="P99" s="260"/>
      <c r="Q99" s="276">
        <v>0</v>
      </c>
      <c r="R99" s="274"/>
      <c r="S99" s="274"/>
      <c r="T99" s="274"/>
      <c r="U99" s="277"/>
      <c r="V99" s="276">
        <f t="shared" si="36"/>
        <v>0</v>
      </c>
      <c r="W99" s="274">
        <f t="shared" si="37"/>
        <v>0</v>
      </c>
      <c r="X99" s="242" t="e">
        <f t="shared" si="30"/>
        <v>#DIV/0!</v>
      </c>
      <c r="Y99" s="298"/>
      <c r="Z99" s="34"/>
      <c r="AA99" s="34"/>
    </row>
    <row r="100" spans="2:25" ht="15.75">
      <c r="B100" s="101" t="s">
        <v>93</v>
      </c>
      <c r="C100" s="263">
        <v>96000000</v>
      </c>
      <c r="D100" s="263"/>
      <c r="E100" s="263"/>
      <c r="F100" s="263"/>
      <c r="G100" s="263"/>
      <c r="H100" s="263"/>
      <c r="I100" s="263"/>
      <c r="J100" s="263"/>
      <c r="K100" s="263"/>
      <c r="L100" s="263"/>
      <c r="M100" s="263"/>
      <c r="N100" s="263"/>
      <c r="O100" s="264">
        <f t="shared" si="35"/>
        <v>96000000</v>
      </c>
      <c r="P100" s="260"/>
      <c r="Q100" s="276">
        <v>87151650</v>
      </c>
      <c r="R100" s="274"/>
      <c r="S100" s="274"/>
      <c r="T100" s="274"/>
      <c r="U100" s="277"/>
      <c r="V100" s="276">
        <f t="shared" si="36"/>
        <v>87151650</v>
      </c>
      <c r="W100" s="274">
        <f t="shared" si="37"/>
        <v>8848350</v>
      </c>
      <c r="X100" s="242">
        <f t="shared" si="30"/>
        <v>0.9078296875</v>
      </c>
      <c r="Y100" s="298"/>
    </row>
    <row r="101" spans="2:27" s="2" customFormat="1" ht="15.75">
      <c r="B101" s="14" t="s">
        <v>75</v>
      </c>
      <c r="C101" s="274">
        <v>267137000</v>
      </c>
      <c r="D101" s="274"/>
      <c r="E101" s="274">
        <f>+'[5]MEJORAMIENTO GENETICO'!$F$63</f>
        <v>3640</v>
      </c>
      <c r="F101" s="274"/>
      <c r="G101" s="274"/>
      <c r="H101" s="274"/>
      <c r="I101" s="274"/>
      <c r="J101" s="274"/>
      <c r="K101" s="274"/>
      <c r="L101" s="274"/>
      <c r="M101" s="274"/>
      <c r="N101" s="274"/>
      <c r="O101" s="275">
        <f t="shared" si="35"/>
        <v>267140640</v>
      </c>
      <c r="P101" s="260"/>
      <c r="Q101" s="276">
        <v>78976000</v>
      </c>
      <c r="R101" s="274"/>
      <c r="S101" s="274"/>
      <c r="T101" s="274"/>
      <c r="U101" s="277"/>
      <c r="V101" s="276">
        <f t="shared" si="36"/>
        <v>78976000</v>
      </c>
      <c r="W101" s="274">
        <f t="shared" si="37"/>
        <v>188164640</v>
      </c>
      <c r="X101" s="242">
        <f t="shared" si="30"/>
        <v>0.2956345391700791</v>
      </c>
      <c r="Y101" s="298"/>
      <c r="Z101" s="34"/>
      <c r="AA101" s="34"/>
    </row>
    <row r="102" spans="2:27" s="2" customFormat="1" ht="15.75">
      <c r="B102" s="14" t="s">
        <v>105</v>
      </c>
      <c r="C102" s="274">
        <v>11000000</v>
      </c>
      <c r="D102" s="274"/>
      <c r="E102" s="274"/>
      <c r="F102" s="274"/>
      <c r="G102" s="274"/>
      <c r="H102" s="274"/>
      <c r="I102" s="274"/>
      <c r="J102" s="274"/>
      <c r="K102" s="274"/>
      <c r="L102" s="274"/>
      <c r="M102" s="274"/>
      <c r="N102" s="274"/>
      <c r="O102" s="275">
        <f t="shared" si="35"/>
        <v>11000000</v>
      </c>
      <c r="P102" s="260"/>
      <c r="Q102" s="276">
        <v>8000000</v>
      </c>
      <c r="R102" s="274"/>
      <c r="S102" s="274"/>
      <c r="T102" s="274"/>
      <c r="U102" s="277"/>
      <c r="V102" s="276">
        <f t="shared" si="36"/>
        <v>8000000</v>
      </c>
      <c r="W102" s="274">
        <f t="shared" si="37"/>
        <v>3000000</v>
      </c>
      <c r="X102" s="242">
        <f t="shared" si="30"/>
        <v>0.7272727272727273</v>
      </c>
      <c r="Y102" s="298"/>
      <c r="Z102" s="34"/>
      <c r="AA102" s="34"/>
    </row>
    <row r="103" spans="2:25" ht="15.75">
      <c r="B103" s="101" t="s">
        <v>173</v>
      </c>
      <c r="C103" s="263">
        <v>100000000</v>
      </c>
      <c r="D103" s="263"/>
      <c r="E103" s="263"/>
      <c r="F103" s="263"/>
      <c r="G103" s="263"/>
      <c r="H103" s="263"/>
      <c r="I103" s="263"/>
      <c r="J103" s="263"/>
      <c r="K103" s="263"/>
      <c r="L103" s="263"/>
      <c r="M103" s="263"/>
      <c r="N103" s="263"/>
      <c r="O103" s="264">
        <f t="shared" si="35"/>
        <v>100000000</v>
      </c>
      <c r="P103" s="260"/>
      <c r="Q103" s="276">
        <v>0</v>
      </c>
      <c r="R103" s="274"/>
      <c r="S103" s="274"/>
      <c r="T103" s="274"/>
      <c r="U103" s="277"/>
      <c r="V103" s="276">
        <f t="shared" si="36"/>
        <v>0</v>
      </c>
      <c r="W103" s="274">
        <f t="shared" si="37"/>
        <v>100000000</v>
      </c>
      <c r="X103" s="242">
        <f t="shared" si="30"/>
        <v>0</v>
      </c>
      <c r="Y103" s="298"/>
    </row>
    <row r="104" spans="2:25" ht="15.75">
      <c r="B104" s="101" t="s">
        <v>147</v>
      </c>
      <c r="C104" s="263">
        <v>0</v>
      </c>
      <c r="D104" s="263"/>
      <c r="E104" s="263"/>
      <c r="F104" s="263"/>
      <c r="G104" s="263"/>
      <c r="H104" s="263"/>
      <c r="I104" s="263"/>
      <c r="J104" s="263"/>
      <c r="K104" s="263"/>
      <c r="L104" s="263"/>
      <c r="M104" s="263"/>
      <c r="N104" s="263"/>
      <c r="O104" s="264">
        <f t="shared" si="35"/>
        <v>0</v>
      </c>
      <c r="P104" s="260"/>
      <c r="Q104" s="276">
        <v>0</v>
      </c>
      <c r="R104" s="274"/>
      <c r="S104" s="274"/>
      <c r="T104" s="274"/>
      <c r="U104" s="277"/>
      <c r="V104" s="276">
        <f t="shared" si="36"/>
        <v>0</v>
      </c>
      <c r="W104" s="274">
        <f t="shared" si="37"/>
        <v>0</v>
      </c>
      <c r="X104" s="242" t="e">
        <f t="shared" si="30"/>
        <v>#DIV/0!</v>
      </c>
      <c r="Y104" s="298"/>
    </row>
    <row r="105" spans="2:25" ht="15.75">
      <c r="B105" s="101" t="s">
        <v>92</v>
      </c>
      <c r="C105" s="263">
        <v>0</v>
      </c>
      <c r="D105" s="263"/>
      <c r="E105" s="263"/>
      <c r="F105" s="263"/>
      <c r="G105" s="263"/>
      <c r="H105" s="263"/>
      <c r="I105" s="263"/>
      <c r="J105" s="263"/>
      <c r="K105" s="263"/>
      <c r="L105" s="263"/>
      <c r="M105" s="263"/>
      <c r="N105" s="263"/>
      <c r="O105" s="264">
        <f t="shared" si="35"/>
        <v>0</v>
      </c>
      <c r="P105" s="260"/>
      <c r="Q105" s="276">
        <v>0</v>
      </c>
      <c r="R105" s="274"/>
      <c r="S105" s="274"/>
      <c r="T105" s="274"/>
      <c r="U105" s="277"/>
      <c r="V105" s="276">
        <f t="shared" si="36"/>
        <v>0</v>
      </c>
      <c r="W105" s="274">
        <f t="shared" si="37"/>
        <v>0</v>
      </c>
      <c r="X105" s="242" t="e">
        <f t="shared" si="30"/>
        <v>#DIV/0!</v>
      </c>
      <c r="Y105" s="298"/>
    </row>
    <row r="106" spans="2:27" s="2" customFormat="1" ht="15.75">
      <c r="B106" s="14" t="s">
        <v>223</v>
      </c>
      <c r="C106" s="274">
        <v>15000000</v>
      </c>
      <c r="D106" s="274"/>
      <c r="E106" s="274"/>
      <c r="F106" s="274"/>
      <c r="G106" s="274"/>
      <c r="H106" s="274"/>
      <c r="I106" s="274"/>
      <c r="J106" s="274"/>
      <c r="K106" s="274"/>
      <c r="L106" s="274"/>
      <c r="M106" s="274"/>
      <c r="N106" s="274"/>
      <c r="O106" s="275">
        <f t="shared" si="35"/>
        <v>15000000</v>
      </c>
      <c r="P106" s="260"/>
      <c r="Q106" s="276">
        <v>0</v>
      </c>
      <c r="R106" s="274"/>
      <c r="S106" s="274"/>
      <c r="T106" s="274"/>
      <c r="U106" s="277"/>
      <c r="V106" s="276">
        <f t="shared" si="36"/>
        <v>0</v>
      </c>
      <c r="W106" s="274">
        <f t="shared" si="37"/>
        <v>15000000</v>
      </c>
      <c r="X106" s="242">
        <f t="shared" si="30"/>
        <v>0</v>
      </c>
      <c r="Y106" s="298"/>
      <c r="Z106" s="34"/>
      <c r="AA106" s="34"/>
    </row>
    <row r="107" spans="2:27" s="2" customFormat="1" ht="15.75">
      <c r="B107" s="14" t="s">
        <v>148</v>
      </c>
      <c r="C107" s="274">
        <v>14170000</v>
      </c>
      <c r="D107" s="274"/>
      <c r="E107" s="274">
        <f>+'[5]MEJORAMIENTO GENETICO'!$F$60</f>
        <v>36400</v>
      </c>
      <c r="F107" s="274"/>
      <c r="G107" s="274"/>
      <c r="H107" s="274"/>
      <c r="I107" s="274"/>
      <c r="J107" s="274"/>
      <c r="K107" s="274"/>
      <c r="L107" s="274"/>
      <c r="M107" s="274"/>
      <c r="N107" s="274"/>
      <c r="O107" s="275">
        <f t="shared" si="35"/>
        <v>14206400</v>
      </c>
      <c r="P107" s="260"/>
      <c r="Q107" s="276">
        <v>0</v>
      </c>
      <c r="R107" s="274"/>
      <c r="S107" s="274"/>
      <c r="T107" s="274"/>
      <c r="U107" s="277"/>
      <c r="V107" s="276">
        <f t="shared" si="36"/>
        <v>0</v>
      </c>
      <c r="W107" s="274">
        <f t="shared" si="37"/>
        <v>14206400</v>
      </c>
      <c r="X107" s="242">
        <f t="shared" si="30"/>
        <v>0</v>
      </c>
      <c r="Y107" s="298"/>
      <c r="Z107" s="34"/>
      <c r="AA107" s="34"/>
    </row>
    <row r="108" spans="2:27" s="2" customFormat="1" ht="15.75">
      <c r="B108" s="14" t="s">
        <v>90</v>
      </c>
      <c r="C108" s="274">
        <v>65400000</v>
      </c>
      <c r="D108" s="274"/>
      <c r="E108" s="274">
        <f>+'[5]MEJORAMIENTO GENETICO'!$F$61</f>
        <v>168000</v>
      </c>
      <c r="F108" s="274"/>
      <c r="G108" s="274"/>
      <c r="H108" s="274"/>
      <c r="I108" s="274"/>
      <c r="J108" s="274"/>
      <c r="K108" s="274"/>
      <c r="L108" s="274"/>
      <c r="M108" s="274"/>
      <c r="N108" s="274"/>
      <c r="O108" s="275">
        <f t="shared" si="35"/>
        <v>65568000</v>
      </c>
      <c r="P108" s="260"/>
      <c r="Q108" s="276">
        <v>52461585</v>
      </c>
      <c r="R108" s="274"/>
      <c r="S108" s="274"/>
      <c r="T108" s="274"/>
      <c r="U108" s="277"/>
      <c r="V108" s="276">
        <f t="shared" si="36"/>
        <v>52461585</v>
      </c>
      <c r="W108" s="274">
        <f t="shared" si="37"/>
        <v>13106415</v>
      </c>
      <c r="X108" s="242">
        <f t="shared" si="30"/>
        <v>0.8001095808931186</v>
      </c>
      <c r="Y108" s="298"/>
      <c r="Z108" s="34"/>
      <c r="AA108" s="34"/>
    </row>
    <row r="109" spans="2:28" s="2" customFormat="1" ht="15.75">
      <c r="B109" s="14" t="s">
        <v>95</v>
      </c>
      <c r="C109" s="274">
        <v>22890000</v>
      </c>
      <c r="D109" s="274"/>
      <c r="E109" s="274">
        <f>+'[5]MEJORAMIENTO GENETICO'!$F$62</f>
        <v>58800</v>
      </c>
      <c r="F109" s="274"/>
      <c r="G109" s="274"/>
      <c r="H109" s="274"/>
      <c r="I109" s="274"/>
      <c r="J109" s="274"/>
      <c r="K109" s="274"/>
      <c r="L109" s="274"/>
      <c r="M109" s="274"/>
      <c r="N109" s="274"/>
      <c r="O109" s="275">
        <f t="shared" si="35"/>
        <v>22948800</v>
      </c>
      <c r="P109" s="260"/>
      <c r="Q109" s="276">
        <v>0</v>
      </c>
      <c r="R109" s="274"/>
      <c r="S109" s="274"/>
      <c r="T109" s="274"/>
      <c r="U109" s="277"/>
      <c r="V109" s="276">
        <f t="shared" si="36"/>
        <v>0</v>
      </c>
      <c r="W109" s="274">
        <f t="shared" si="37"/>
        <v>22948800</v>
      </c>
      <c r="X109" s="242">
        <f t="shared" si="30"/>
        <v>0</v>
      </c>
      <c r="Y109" s="298"/>
      <c r="Z109" s="34"/>
      <c r="AA109" s="34"/>
      <c r="AB109" s="44"/>
    </row>
    <row r="110" spans="2:27" s="2" customFormat="1" ht="15.75">
      <c r="B110" s="14" t="s">
        <v>155</v>
      </c>
      <c r="C110" s="274">
        <v>20000000</v>
      </c>
      <c r="D110" s="274"/>
      <c r="E110" s="274"/>
      <c r="F110" s="274"/>
      <c r="G110" s="274"/>
      <c r="H110" s="274"/>
      <c r="I110" s="274"/>
      <c r="J110" s="274"/>
      <c r="K110" s="274"/>
      <c r="L110" s="274"/>
      <c r="M110" s="274"/>
      <c r="N110" s="274"/>
      <c r="O110" s="275">
        <f t="shared" si="35"/>
        <v>20000000</v>
      </c>
      <c r="P110" s="260"/>
      <c r="Q110" s="276">
        <v>0</v>
      </c>
      <c r="R110" s="274"/>
      <c r="S110" s="274"/>
      <c r="T110" s="274"/>
      <c r="U110" s="277"/>
      <c r="V110" s="276">
        <f t="shared" si="36"/>
        <v>0</v>
      </c>
      <c r="W110" s="274">
        <f t="shared" si="37"/>
        <v>20000000</v>
      </c>
      <c r="X110" s="242">
        <f t="shared" si="30"/>
        <v>0</v>
      </c>
      <c r="Y110" s="298"/>
      <c r="Z110" s="34"/>
      <c r="AA110" s="34"/>
    </row>
    <row r="111" spans="2:27" s="2" customFormat="1" ht="15.75">
      <c r="B111" s="14" t="s">
        <v>153</v>
      </c>
      <c r="C111" s="274">
        <v>3000000000</v>
      </c>
      <c r="D111" s="274"/>
      <c r="E111" s="274"/>
      <c r="F111" s="274"/>
      <c r="G111" s="274"/>
      <c r="H111" s="274"/>
      <c r="I111" s="274"/>
      <c r="J111" s="274"/>
      <c r="K111" s="274"/>
      <c r="L111" s="274"/>
      <c r="M111" s="274"/>
      <c r="N111" s="274"/>
      <c r="O111" s="275">
        <f t="shared" si="35"/>
        <v>3000000000</v>
      </c>
      <c r="P111" s="260"/>
      <c r="Q111" s="276">
        <v>0</v>
      </c>
      <c r="R111" s="274"/>
      <c r="S111" s="274"/>
      <c r="T111" s="274"/>
      <c r="U111" s="277"/>
      <c r="V111" s="276">
        <f t="shared" si="36"/>
        <v>0</v>
      </c>
      <c r="W111" s="274">
        <f t="shared" si="37"/>
        <v>3000000000</v>
      </c>
      <c r="X111" s="242">
        <f t="shared" si="30"/>
        <v>0</v>
      </c>
      <c r="Y111" s="298"/>
      <c r="Z111" s="34"/>
      <c r="AA111" s="34"/>
    </row>
    <row r="112" spans="2:27" s="2" customFormat="1" ht="15.75">
      <c r="B112" s="27" t="s">
        <v>59</v>
      </c>
      <c r="C112" s="267">
        <f>SUM(C113:C117)</f>
        <v>2517647073</v>
      </c>
      <c r="D112" s="267">
        <f>SUM(D113:D117)</f>
        <v>0</v>
      </c>
      <c r="E112" s="267">
        <f>SUM(E113:E117)</f>
        <v>1253297</v>
      </c>
      <c r="F112" s="267">
        <f aca="true" t="shared" si="38" ref="F112:V112">SUM(F113:F117)</f>
        <v>0</v>
      </c>
      <c r="G112" s="267">
        <f>SUM(G113:G117)</f>
        <v>0</v>
      </c>
      <c r="H112" s="267">
        <f t="shared" si="38"/>
        <v>0</v>
      </c>
      <c r="I112" s="267">
        <f t="shared" si="38"/>
        <v>0</v>
      </c>
      <c r="J112" s="267">
        <f t="shared" si="38"/>
        <v>0</v>
      </c>
      <c r="K112" s="267">
        <f t="shared" si="38"/>
        <v>0</v>
      </c>
      <c r="L112" s="267">
        <f t="shared" si="38"/>
        <v>0</v>
      </c>
      <c r="M112" s="267">
        <f t="shared" si="38"/>
        <v>0</v>
      </c>
      <c r="N112" s="267">
        <f t="shared" si="38"/>
        <v>0</v>
      </c>
      <c r="O112" s="268">
        <f t="shared" si="38"/>
        <v>2518900370</v>
      </c>
      <c r="P112" s="260"/>
      <c r="Q112" s="269">
        <f t="shared" si="38"/>
        <v>358630888</v>
      </c>
      <c r="R112" s="267">
        <f t="shared" si="38"/>
        <v>0</v>
      </c>
      <c r="S112" s="267">
        <f t="shared" si="38"/>
        <v>0</v>
      </c>
      <c r="T112" s="267">
        <f t="shared" si="38"/>
        <v>0</v>
      </c>
      <c r="U112" s="270">
        <f t="shared" si="38"/>
        <v>0</v>
      </c>
      <c r="V112" s="269">
        <f t="shared" si="38"/>
        <v>358630888</v>
      </c>
      <c r="W112" s="267">
        <f>SUM(W113:W117)</f>
        <v>2160269482</v>
      </c>
      <c r="X112" s="244">
        <f t="shared" si="30"/>
        <v>0.14237597178168662</v>
      </c>
      <c r="Y112" s="298"/>
      <c r="Z112" s="34"/>
      <c r="AA112" s="34"/>
    </row>
    <row r="113" spans="2:27" s="2" customFormat="1" ht="15.75">
      <c r="B113" s="14" t="s">
        <v>62</v>
      </c>
      <c r="C113" s="274">
        <v>1122549089</v>
      </c>
      <c r="D113" s="274"/>
      <c r="E113" s="274">
        <v>1079809</v>
      </c>
      <c r="F113" s="274"/>
      <c r="G113" s="274"/>
      <c r="H113" s="274"/>
      <c r="I113" s="274"/>
      <c r="J113" s="274"/>
      <c r="K113" s="274"/>
      <c r="L113" s="274"/>
      <c r="M113" s="274"/>
      <c r="N113" s="274"/>
      <c r="O113" s="275">
        <f>SUM(C113:N113)</f>
        <v>1123628898</v>
      </c>
      <c r="P113" s="260"/>
      <c r="Q113" s="276">
        <v>181851784</v>
      </c>
      <c r="R113" s="274"/>
      <c r="S113" s="274"/>
      <c r="T113" s="274"/>
      <c r="U113" s="277"/>
      <c r="V113" s="276">
        <f>SUM(Q113:U113)</f>
        <v>181851784</v>
      </c>
      <c r="W113" s="274">
        <f>+O113-V113</f>
        <v>941777114</v>
      </c>
      <c r="X113" s="242">
        <f t="shared" si="30"/>
        <v>0.16184327790401845</v>
      </c>
      <c r="Y113" s="298"/>
      <c r="Z113" s="34"/>
      <c r="AA113" s="34"/>
    </row>
    <row r="114" spans="2:27" s="2" customFormat="1" ht="15.75">
      <c r="B114" s="14" t="s">
        <v>63</v>
      </c>
      <c r="C114" s="274">
        <v>330000000</v>
      </c>
      <c r="D114" s="274"/>
      <c r="E114" s="274"/>
      <c r="F114" s="274"/>
      <c r="G114" s="274"/>
      <c r="H114" s="274"/>
      <c r="I114" s="274"/>
      <c r="J114" s="274"/>
      <c r="K114" s="274"/>
      <c r="L114" s="274"/>
      <c r="M114" s="274"/>
      <c r="N114" s="274"/>
      <c r="O114" s="275">
        <f>SUM(C114:N114)</f>
        <v>330000000</v>
      </c>
      <c r="P114" s="260"/>
      <c r="Q114" s="276">
        <v>60000000</v>
      </c>
      <c r="R114" s="274"/>
      <c r="S114" s="274"/>
      <c r="T114" s="274"/>
      <c r="U114" s="277"/>
      <c r="V114" s="276">
        <f>SUM(Q114:U114)</f>
        <v>60000000</v>
      </c>
      <c r="W114" s="274">
        <f>+O114-V114</f>
        <v>270000000</v>
      </c>
      <c r="X114" s="242">
        <f t="shared" si="30"/>
        <v>0.18181818181818182</v>
      </c>
      <c r="Y114" s="298"/>
      <c r="Z114" s="34"/>
      <c r="AA114" s="34"/>
    </row>
    <row r="115" spans="2:27" s="2" customFormat="1" ht="15.75">
      <c r="B115" s="14" t="s">
        <v>64</v>
      </c>
      <c r="C115" s="274">
        <v>999697984</v>
      </c>
      <c r="D115" s="274"/>
      <c r="E115" s="274">
        <v>5488</v>
      </c>
      <c r="F115" s="274"/>
      <c r="G115" s="274"/>
      <c r="H115" s="274"/>
      <c r="I115" s="274"/>
      <c r="J115" s="274"/>
      <c r="K115" s="274"/>
      <c r="L115" s="274"/>
      <c r="M115" s="274"/>
      <c r="N115" s="274"/>
      <c r="O115" s="275">
        <f>SUM(C115:N115)</f>
        <v>999703472</v>
      </c>
      <c r="P115" s="260"/>
      <c r="Q115" s="276">
        <v>116779104</v>
      </c>
      <c r="R115" s="274"/>
      <c r="S115" s="274"/>
      <c r="T115" s="274"/>
      <c r="U115" s="277"/>
      <c r="V115" s="276">
        <f>SUM(Q115:U115)</f>
        <v>116779104</v>
      </c>
      <c r="W115" s="274">
        <f>+O115-V115</f>
        <v>882924368</v>
      </c>
      <c r="X115" s="242">
        <f t="shared" si="30"/>
        <v>0.11681374254544952</v>
      </c>
      <c r="Y115" s="298"/>
      <c r="Z115" s="34"/>
      <c r="AA115" s="34"/>
    </row>
    <row r="116" spans="2:27" s="2" customFormat="1" ht="15.75">
      <c r="B116" s="14" t="s">
        <v>112</v>
      </c>
      <c r="C116" s="274">
        <v>65400000</v>
      </c>
      <c r="D116" s="274"/>
      <c r="E116" s="274">
        <f>+'[5]CAMPAÑA DE CONSUMO'!$F$66</f>
        <v>168000</v>
      </c>
      <c r="F116" s="274"/>
      <c r="G116" s="274"/>
      <c r="H116" s="274"/>
      <c r="I116" s="274"/>
      <c r="J116" s="274"/>
      <c r="K116" s="274"/>
      <c r="L116" s="274"/>
      <c r="M116" s="274"/>
      <c r="N116" s="274"/>
      <c r="O116" s="275">
        <f>SUM(C116:N116)</f>
        <v>65568000</v>
      </c>
      <c r="P116" s="260"/>
      <c r="Q116" s="276">
        <v>0</v>
      </c>
      <c r="R116" s="274"/>
      <c r="S116" s="274"/>
      <c r="T116" s="274"/>
      <c r="U116" s="277"/>
      <c r="V116" s="276">
        <f>SUM(Q116:U116)</f>
        <v>0</v>
      </c>
      <c r="W116" s="274">
        <f>+O116-V116</f>
        <v>65568000</v>
      </c>
      <c r="X116" s="242">
        <f t="shared" si="30"/>
        <v>0</v>
      </c>
      <c r="Y116" s="298"/>
      <c r="Z116" s="34"/>
      <c r="AA116" s="34"/>
    </row>
    <row r="117" spans="2:27" s="2" customFormat="1" ht="15.75">
      <c r="B117" s="14" t="s">
        <v>130</v>
      </c>
      <c r="C117" s="274">
        <v>0</v>
      </c>
      <c r="D117" s="274"/>
      <c r="E117" s="274"/>
      <c r="F117" s="274"/>
      <c r="G117" s="274"/>
      <c r="H117" s="274"/>
      <c r="I117" s="274"/>
      <c r="J117" s="274"/>
      <c r="K117" s="274"/>
      <c r="L117" s="274"/>
      <c r="M117" s="274"/>
      <c r="N117" s="274"/>
      <c r="O117" s="275">
        <f>SUM(C117:N117)</f>
        <v>0</v>
      </c>
      <c r="P117" s="260"/>
      <c r="Q117" s="276">
        <v>0</v>
      </c>
      <c r="R117" s="274"/>
      <c r="S117" s="274"/>
      <c r="T117" s="274"/>
      <c r="U117" s="277"/>
      <c r="V117" s="276">
        <f>SUM(Q117:U117)</f>
        <v>0</v>
      </c>
      <c r="W117" s="274">
        <f>+O117-V117</f>
        <v>0</v>
      </c>
      <c r="X117" s="242" t="e">
        <f t="shared" si="30"/>
        <v>#DIV/0!</v>
      </c>
      <c r="Y117" s="298"/>
      <c r="Z117" s="34"/>
      <c r="AA117" s="34"/>
    </row>
    <row r="118" spans="2:27" s="2" customFormat="1" ht="15.75">
      <c r="B118" s="27" t="s">
        <v>110</v>
      </c>
      <c r="C118" s="267">
        <f>SUM(C119:C125)</f>
        <v>494846564</v>
      </c>
      <c r="D118" s="267">
        <f>SUM(D119:D125)</f>
        <v>0</v>
      </c>
      <c r="E118" s="267">
        <f>SUM(E119:E125)</f>
        <v>1204846</v>
      </c>
      <c r="F118" s="267">
        <f aca="true" t="shared" si="39" ref="F118:V118">SUM(F119:F125)</f>
        <v>0</v>
      </c>
      <c r="G118" s="267">
        <f>SUM(G119:G125)</f>
        <v>0</v>
      </c>
      <c r="H118" s="267">
        <f t="shared" si="39"/>
        <v>0</v>
      </c>
      <c r="I118" s="267">
        <f t="shared" si="39"/>
        <v>0</v>
      </c>
      <c r="J118" s="267">
        <f t="shared" si="39"/>
        <v>0</v>
      </c>
      <c r="K118" s="267">
        <f t="shared" si="39"/>
        <v>0</v>
      </c>
      <c r="L118" s="267">
        <f t="shared" si="39"/>
        <v>0</v>
      </c>
      <c r="M118" s="267">
        <f t="shared" si="39"/>
        <v>0</v>
      </c>
      <c r="N118" s="267">
        <f t="shared" si="39"/>
        <v>0</v>
      </c>
      <c r="O118" s="268">
        <f>SUM(O119:O125)</f>
        <v>496051410</v>
      </c>
      <c r="P118" s="260"/>
      <c r="Q118" s="269">
        <f t="shared" si="39"/>
        <v>22865752</v>
      </c>
      <c r="R118" s="267">
        <f t="shared" si="39"/>
        <v>0</v>
      </c>
      <c r="S118" s="267">
        <f t="shared" si="39"/>
        <v>0</v>
      </c>
      <c r="T118" s="267">
        <f t="shared" si="39"/>
        <v>0</v>
      </c>
      <c r="U118" s="270">
        <f t="shared" si="39"/>
        <v>0</v>
      </c>
      <c r="V118" s="269">
        <f t="shared" si="39"/>
        <v>22865752</v>
      </c>
      <c r="W118" s="267">
        <f>SUM(W119:W125)</f>
        <v>473185658</v>
      </c>
      <c r="X118" s="244">
        <f t="shared" si="30"/>
        <v>0.046095528687238284</v>
      </c>
      <c r="Y118" s="298"/>
      <c r="Z118" s="34"/>
      <c r="AA118" s="34"/>
    </row>
    <row r="119" spans="2:25" ht="15.75">
      <c r="B119" s="101" t="s">
        <v>140</v>
      </c>
      <c r="C119" s="263">
        <v>0</v>
      </c>
      <c r="D119" s="263"/>
      <c r="E119" s="263"/>
      <c r="F119" s="263"/>
      <c r="G119" s="263"/>
      <c r="H119" s="263"/>
      <c r="I119" s="263"/>
      <c r="J119" s="263"/>
      <c r="K119" s="263"/>
      <c r="L119" s="263"/>
      <c r="M119" s="263"/>
      <c r="N119" s="263"/>
      <c r="O119" s="264">
        <f aca="true" t="shared" si="40" ref="O119:O125">SUM(C119:N119)</f>
        <v>0</v>
      </c>
      <c r="P119" s="260"/>
      <c r="Q119" s="276">
        <v>0</v>
      </c>
      <c r="R119" s="274"/>
      <c r="S119" s="274"/>
      <c r="T119" s="274"/>
      <c r="U119" s="277"/>
      <c r="V119" s="276">
        <f aca="true" t="shared" si="41" ref="V119:V125">SUM(Q119:U119)</f>
        <v>0</v>
      </c>
      <c r="W119" s="274">
        <f aca="true" t="shared" si="42" ref="W119:W125">+O119-V119</f>
        <v>0</v>
      </c>
      <c r="X119" s="242" t="e">
        <f t="shared" si="30"/>
        <v>#DIV/0!</v>
      </c>
      <c r="Y119" s="298"/>
    </row>
    <row r="120" spans="2:25" ht="15.75">
      <c r="B120" s="101" t="s">
        <v>128</v>
      </c>
      <c r="C120" s="263">
        <v>0</v>
      </c>
      <c r="D120" s="263"/>
      <c r="E120" s="263"/>
      <c r="F120" s="263"/>
      <c r="G120" s="263"/>
      <c r="H120" s="263"/>
      <c r="I120" s="263"/>
      <c r="J120" s="263"/>
      <c r="K120" s="263"/>
      <c r="L120" s="263"/>
      <c r="M120" s="263"/>
      <c r="N120" s="263"/>
      <c r="O120" s="264">
        <f t="shared" si="40"/>
        <v>0</v>
      </c>
      <c r="P120" s="260"/>
      <c r="Q120" s="276">
        <v>0</v>
      </c>
      <c r="R120" s="274"/>
      <c r="S120" s="274"/>
      <c r="T120" s="274"/>
      <c r="U120" s="277"/>
      <c r="V120" s="276">
        <f t="shared" si="41"/>
        <v>0</v>
      </c>
      <c r="W120" s="274">
        <f t="shared" si="42"/>
        <v>0</v>
      </c>
      <c r="X120" s="242" t="e">
        <f t="shared" si="30"/>
        <v>#DIV/0!</v>
      </c>
      <c r="Y120" s="298"/>
    </row>
    <row r="121" spans="2:25" ht="15.75">
      <c r="B121" s="101" t="s">
        <v>141</v>
      </c>
      <c r="C121" s="263">
        <v>0</v>
      </c>
      <c r="D121" s="263"/>
      <c r="E121" s="263"/>
      <c r="F121" s="263"/>
      <c r="G121" s="263"/>
      <c r="H121" s="263"/>
      <c r="I121" s="263"/>
      <c r="J121" s="263"/>
      <c r="K121" s="263"/>
      <c r="L121" s="263"/>
      <c r="M121" s="263"/>
      <c r="N121" s="263"/>
      <c r="O121" s="264">
        <f t="shared" si="40"/>
        <v>0</v>
      </c>
      <c r="P121" s="260"/>
      <c r="Q121" s="276">
        <v>0</v>
      </c>
      <c r="R121" s="274"/>
      <c r="S121" s="274"/>
      <c r="T121" s="274"/>
      <c r="U121" s="277"/>
      <c r="V121" s="276">
        <f t="shared" si="41"/>
        <v>0</v>
      </c>
      <c r="W121" s="274">
        <f t="shared" si="42"/>
        <v>0</v>
      </c>
      <c r="X121" s="242" t="e">
        <f t="shared" si="30"/>
        <v>#DIV/0!</v>
      </c>
      <c r="Y121" s="298"/>
    </row>
    <row r="122" spans="2:25" ht="15.75">
      <c r="B122" s="101" t="s">
        <v>111</v>
      </c>
      <c r="C122" s="263">
        <v>260688164</v>
      </c>
      <c r="D122" s="263"/>
      <c r="E122" s="263">
        <f>+'[5]SISTEMAS DE INFORMACION'!$F$58</f>
        <v>634720</v>
      </c>
      <c r="F122" s="263"/>
      <c r="G122" s="263"/>
      <c r="H122" s="263"/>
      <c r="I122" s="263"/>
      <c r="J122" s="263"/>
      <c r="K122" s="263"/>
      <c r="L122" s="263"/>
      <c r="M122" s="263"/>
      <c r="N122" s="263"/>
      <c r="O122" s="264">
        <f t="shared" si="40"/>
        <v>261322884</v>
      </c>
      <c r="P122" s="260"/>
      <c r="Q122" s="276">
        <v>22865752</v>
      </c>
      <c r="R122" s="274"/>
      <c r="S122" s="274"/>
      <c r="T122" s="274"/>
      <c r="U122" s="277"/>
      <c r="V122" s="276">
        <f t="shared" si="41"/>
        <v>22865752</v>
      </c>
      <c r="W122" s="274">
        <f t="shared" si="42"/>
        <v>238457132</v>
      </c>
      <c r="X122" s="242">
        <f aca="true" t="shared" si="43" ref="X122:X130">+V122/O122</f>
        <v>0.08749999866066073</v>
      </c>
      <c r="Y122" s="298"/>
    </row>
    <row r="123" spans="2:25" ht="15.75">
      <c r="B123" s="101" t="s">
        <v>198</v>
      </c>
      <c r="C123" s="263">
        <v>78052800</v>
      </c>
      <c r="D123" s="263"/>
      <c r="E123" s="263">
        <f>+'[5]SISTEMAS DE INFORMACION'!$F$59</f>
        <v>190042</v>
      </c>
      <c r="F123" s="263"/>
      <c r="G123" s="263"/>
      <c r="H123" s="263"/>
      <c r="I123" s="263"/>
      <c r="J123" s="263"/>
      <c r="K123" s="263"/>
      <c r="L123" s="263"/>
      <c r="M123" s="263"/>
      <c r="N123" s="263"/>
      <c r="O123" s="264">
        <f t="shared" si="40"/>
        <v>78242842</v>
      </c>
      <c r="P123" s="260"/>
      <c r="Q123" s="276">
        <v>0</v>
      </c>
      <c r="R123" s="274"/>
      <c r="S123" s="274"/>
      <c r="T123" s="274"/>
      <c r="U123" s="277"/>
      <c r="V123" s="276">
        <f t="shared" si="41"/>
        <v>0</v>
      </c>
      <c r="W123" s="274">
        <f t="shared" si="42"/>
        <v>78242842</v>
      </c>
      <c r="X123" s="242">
        <f t="shared" si="43"/>
        <v>0</v>
      </c>
      <c r="Y123" s="298"/>
    </row>
    <row r="124" spans="2:25" ht="15.75">
      <c r="B124" s="101" t="s">
        <v>199</v>
      </c>
      <c r="C124" s="263">
        <v>78052800</v>
      </c>
      <c r="D124" s="263"/>
      <c r="E124" s="263">
        <f>+'[5]SISTEMAS DE INFORMACION'!$F$60</f>
        <v>190042</v>
      </c>
      <c r="F124" s="263"/>
      <c r="G124" s="263"/>
      <c r="H124" s="263"/>
      <c r="I124" s="263"/>
      <c r="J124" s="263"/>
      <c r="K124" s="263"/>
      <c r="L124" s="263"/>
      <c r="M124" s="263"/>
      <c r="N124" s="263"/>
      <c r="O124" s="264">
        <f t="shared" si="40"/>
        <v>78242842</v>
      </c>
      <c r="P124" s="260"/>
      <c r="Q124" s="276">
        <v>0</v>
      </c>
      <c r="R124" s="274"/>
      <c r="S124" s="274"/>
      <c r="T124" s="274"/>
      <c r="U124" s="277"/>
      <c r="V124" s="276">
        <f t="shared" si="41"/>
        <v>0</v>
      </c>
      <c r="W124" s="274">
        <f t="shared" si="42"/>
        <v>78242842</v>
      </c>
      <c r="X124" s="242">
        <f t="shared" si="43"/>
        <v>0</v>
      </c>
      <c r="Y124" s="298"/>
    </row>
    <row r="125" spans="2:25" ht="15.75">
      <c r="B125" s="101" t="s">
        <v>200</v>
      </c>
      <c r="C125" s="263">
        <v>78052800</v>
      </c>
      <c r="D125" s="263"/>
      <c r="E125" s="263">
        <f>+'[5]SISTEMAS DE INFORMACION'!$F$61</f>
        <v>190042</v>
      </c>
      <c r="F125" s="263"/>
      <c r="G125" s="263"/>
      <c r="H125" s="263"/>
      <c r="I125" s="263"/>
      <c r="J125" s="263"/>
      <c r="K125" s="263"/>
      <c r="L125" s="263"/>
      <c r="M125" s="263"/>
      <c r="N125" s="263"/>
      <c r="O125" s="264">
        <f t="shared" si="40"/>
        <v>78242842</v>
      </c>
      <c r="P125" s="260"/>
      <c r="Q125" s="276">
        <v>0</v>
      </c>
      <c r="R125" s="274"/>
      <c r="S125" s="274"/>
      <c r="T125" s="274"/>
      <c r="U125" s="277"/>
      <c r="V125" s="276">
        <f t="shared" si="41"/>
        <v>0</v>
      </c>
      <c r="W125" s="274">
        <f t="shared" si="42"/>
        <v>78242842</v>
      </c>
      <c r="X125" s="242">
        <f t="shared" si="43"/>
        <v>0</v>
      </c>
      <c r="Y125" s="298"/>
    </row>
    <row r="126" spans="2:27" s="2" customFormat="1" ht="15.75">
      <c r="B126" s="27" t="s">
        <v>259</v>
      </c>
      <c r="C126" s="267">
        <f>+C127</f>
        <v>0</v>
      </c>
      <c r="D126" s="267">
        <f aca="true" t="shared" si="44" ref="D126:N126">+D127</f>
        <v>0</v>
      </c>
      <c r="E126" s="267">
        <f t="shared" si="44"/>
        <v>0</v>
      </c>
      <c r="F126" s="267">
        <f t="shared" si="44"/>
        <v>0</v>
      </c>
      <c r="G126" s="267">
        <f t="shared" si="44"/>
        <v>0</v>
      </c>
      <c r="H126" s="267">
        <f t="shared" si="44"/>
        <v>0</v>
      </c>
      <c r="I126" s="267">
        <f t="shared" si="44"/>
        <v>0</v>
      </c>
      <c r="J126" s="267">
        <f t="shared" si="44"/>
        <v>0</v>
      </c>
      <c r="K126" s="267">
        <f t="shared" si="44"/>
        <v>0</v>
      </c>
      <c r="L126" s="267">
        <f t="shared" si="44"/>
        <v>0</v>
      </c>
      <c r="M126" s="267">
        <f t="shared" si="44"/>
        <v>0</v>
      </c>
      <c r="N126" s="267">
        <f t="shared" si="44"/>
        <v>0</v>
      </c>
      <c r="O126" s="268">
        <f>+O127</f>
        <v>0</v>
      </c>
      <c r="P126" s="260"/>
      <c r="Q126" s="269">
        <f aca="true" t="shared" si="45" ref="Q126:V126">+Q127</f>
        <v>0</v>
      </c>
      <c r="R126" s="267">
        <f t="shared" si="45"/>
        <v>0</v>
      </c>
      <c r="S126" s="267">
        <f t="shared" si="45"/>
        <v>0</v>
      </c>
      <c r="T126" s="267">
        <f t="shared" si="45"/>
        <v>0</v>
      </c>
      <c r="U126" s="270">
        <f t="shared" si="45"/>
        <v>0</v>
      </c>
      <c r="V126" s="269">
        <f t="shared" si="45"/>
        <v>0</v>
      </c>
      <c r="W126" s="267">
        <f>+W127</f>
        <v>0</v>
      </c>
      <c r="X126" s="244" t="e">
        <f t="shared" si="43"/>
        <v>#DIV/0!</v>
      </c>
      <c r="Y126" s="298"/>
      <c r="Z126" s="34"/>
      <c r="AA126" s="34"/>
    </row>
    <row r="127" spans="2:25" ht="15.75">
      <c r="B127" s="101" t="s">
        <v>129</v>
      </c>
      <c r="C127" s="263">
        <v>0</v>
      </c>
      <c r="D127" s="263"/>
      <c r="E127" s="263"/>
      <c r="F127" s="263"/>
      <c r="G127" s="263"/>
      <c r="H127" s="263"/>
      <c r="I127" s="263"/>
      <c r="J127" s="263"/>
      <c r="K127" s="263"/>
      <c r="L127" s="263"/>
      <c r="M127" s="263"/>
      <c r="N127" s="263"/>
      <c r="O127" s="264">
        <f>SUM(C127:N127)</f>
        <v>0</v>
      </c>
      <c r="P127" s="260"/>
      <c r="Q127" s="276"/>
      <c r="R127" s="274"/>
      <c r="S127" s="274"/>
      <c r="T127" s="274"/>
      <c r="U127" s="277"/>
      <c r="V127" s="276">
        <f>SUM(Q127:U127)</f>
        <v>0</v>
      </c>
      <c r="W127" s="274">
        <f>+O127-V127</f>
        <v>0</v>
      </c>
      <c r="X127" s="242" t="e">
        <f t="shared" si="43"/>
        <v>#DIV/0!</v>
      </c>
      <c r="Y127" s="298"/>
    </row>
    <row r="128" spans="2:27" s="2" customFormat="1" ht="15.75">
      <c r="B128" s="27" t="s">
        <v>220</v>
      </c>
      <c r="C128" s="267">
        <f>SUM(C129:C129)</f>
        <v>39000000</v>
      </c>
      <c r="D128" s="267">
        <f aca="true" t="shared" si="46" ref="D128:N128">SUM(D129:D129)</f>
        <v>0</v>
      </c>
      <c r="E128" s="267">
        <f t="shared" si="46"/>
        <v>0</v>
      </c>
      <c r="F128" s="267">
        <f t="shared" si="46"/>
        <v>0</v>
      </c>
      <c r="G128" s="267">
        <f t="shared" si="46"/>
        <v>0</v>
      </c>
      <c r="H128" s="267">
        <f t="shared" si="46"/>
        <v>0</v>
      </c>
      <c r="I128" s="267">
        <f t="shared" si="46"/>
        <v>0</v>
      </c>
      <c r="J128" s="267">
        <f t="shared" si="46"/>
        <v>0</v>
      </c>
      <c r="K128" s="267">
        <f t="shared" si="46"/>
        <v>0</v>
      </c>
      <c r="L128" s="267">
        <f t="shared" si="46"/>
        <v>0</v>
      </c>
      <c r="M128" s="267">
        <f t="shared" si="46"/>
        <v>0</v>
      </c>
      <c r="N128" s="267">
        <f t="shared" si="46"/>
        <v>0</v>
      </c>
      <c r="O128" s="268">
        <f>SUM(O129:O129)</f>
        <v>39000000</v>
      </c>
      <c r="P128" s="260"/>
      <c r="Q128" s="269">
        <f aca="true" t="shared" si="47" ref="Q128:V128">SUM(Q129:Q129)</f>
        <v>0</v>
      </c>
      <c r="R128" s="267">
        <f t="shared" si="47"/>
        <v>0</v>
      </c>
      <c r="S128" s="267">
        <f t="shared" si="47"/>
        <v>0</v>
      </c>
      <c r="T128" s="267">
        <f t="shared" si="47"/>
        <v>0</v>
      </c>
      <c r="U128" s="270">
        <f t="shared" si="47"/>
        <v>0</v>
      </c>
      <c r="V128" s="269">
        <f t="shared" si="47"/>
        <v>0</v>
      </c>
      <c r="W128" s="267">
        <f>+W129</f>
        <v>39000000</v>
      </c>
      <c r="X128" s="244">
        <f t="shared" si="43"/>
        <v>0</v>
      </c>
      <c r="Y128" s="298"/>
      <c r="Z128" s="34"/>
      <c r="AA128" s="34"/>
    </row>
    <row r="129" spans="2:25" ht="16.5" thickBot="1">
      <c r="B129" s="235" t="s">
        <v>219</v>
      </c>
      <c r="C129" s="263">
        <v>39000000</v>
      </c>
      <c r="D129" s="263"/>
      <c r="E129" s="263"/>
      <c r="F129" s="263"/>
      <c r="G129" s="263"/>
      <c r="H129" s="263"/>
      <c r="I129" s="263"/>
      <c r="J129" s="263"/>
      <c r="K129" s="263"/>
      <c r="L129" s="263"/>
      <c r="M129" s="263"/>
      <c r="N129" s="263"/>
      <c r="O129" s="264">
        <f>SUM(C129:N129)</f>
        <v>39000000</v>
      </c>
      <c r="P129" s="260"/>
      <c r="Q129" s="276"/>
      <c r="R129" s="274"/>
      <c r="S129" s="274"/>
      <c r="T129" s="274"/>
      <c r="U129" s="277"/>
      <c r="V129" s="276">
        <f>SUM(Q129:U129)</f>
        <v>0</v>
      </c>
      <c r="W129" s="274">
        <f>+O129-V129</f>
        <v>39000000</v>
      </c>
      <c r="X129" s="242">
        <f t="shared" si="43"/>
        <v>0</v>
      </c>
      <c r="Y129" s="298"/>
    </row>
    <row r="130" spans="2:27" s="2" customFormat="1" ht="15.75">
      <c r="B130" s="28" t="s">
        <v>84</v>
      </c>
      <c r="C130" s="290">
        <f aca="true" t="shared" si="48" ref="C130:O130">+C59+C19+C57</f>
        <v>17681604682.8</v>
      </c>
      <c r="D130" s="290">
        <f t="shared" si="48"/>
        <v>0</v>
      </c>
      <c r="E130" s="290">
        <f t="shared" si="48"/>
        <v>140131815</v>
      </c>
      <c r="F130" s="290">
        <f t="shared" si="48"/>
        <v>239861242</v>
      </c>
      <c r="G130" s="290">
        <f t="shared" si="48"/>
        <v>0</v>
      </c>
      <c r="H130" s="290">
        <f t="shared" si="48"/>
        <v>41244000</v>
      </c>
      <c r="I130" s="290">
        <f t="shared" si="48"/>
        <v>0</v>
      </c>
      <c r="J130" s="290">
        <f t="shared" si="48"/>
        <v>0</v>
      </c>
      <c r="K130" s="290">
        <f t="shared" si="48"/>
        <v>0</v>
      </c>
      <c r="L130" s="290">
        <f t="shared" si="48"/>
        <v>0</v>
      </c>
      <c r="M130" s="290">
        <f t="shared" si="48"/>
        <v>0</v>
      </c>
      <c r="N130" s="290">
        <f t="shared" si="48"/>
        <v>0</v>
      </c>
      <c r="O130" s="291">
        <f t="shared" si="48"/>
        <v>18102841739.8</v>
      </c>
      <c r="P130" s="260"/>
      <c r="Q130" s="292">
        <f aca="true" t="shared" si="49" ref="Q130:V130">+Q59+Q19+Q57</f>
        <v>2817189355</v>
      </c>
      <c r="R130" s="290">
        <f t="shared" si="49"/>
        <v>0</v>
      </c>
      <c r="S130" s="290">
        <f t="shared" si="49"/>
        <v>0</v>
      </c>
      <c r="T130" s="290">
        <f t="shared" si="49"/>
        <v>0</v>
      </c>
      <c r="U130" s="293">
        <f t="shared" si="49"/>
        <v>0</v>
      </c>
      <c r="V130" s="292">
        <f t="shared" si="49"/>
        <v>2618490535.3</v>
      </c>
      <c r="W130" s="290">
        <f>+W59+W19+W57</f>
        <v>14748059048.5</v>
      </c>
      <c r="X130" s="238">
        <f t="shared" si="43"/>
        <v>0.1446452757493382</v>
      </c>
      <c r="Y130" s="298"/>
      <c r="Z130" s="34"/>
      <c r="AA130" s="34"/>
    </row>
    <row r="131" spans="2:27" s="2" customFormat="1" ht="15.75">
      <c r="B131" s="29" t="s">
        <v>41</v>
      </c>
      <c r="C131" s="267">
        <f aca="true" t="shared" si="50" ref="C131:O131">+C17-C130</f>
        <v>6382622351.890923</v>
      </c>
      <c r="D131" s="267">
        <f t="shared" si="50"/>
        <v>1505495404</v>
      </c>
      <c r="E131" s="267">
        <f t="shared" si="50"/>
        <v>-140131815</v>
      </c>
      <c r="F131" s="267">
        <f t="shared" si="50"/>
        <v>-239861242</v>
      </c>
      <c r="G131" s="267">
        <f t="shared" si="50"/>
        <v>0</v>
      </c>
      <c r="H131" s="267">
        <f t="shared" si="50"/>
        <v>-41244000</v>
      </c>
      <c r="I131" s="267">
        <f t="shared" si="50"/>
        <v>0</v>
      </c>
      <c r="J131" s="267">
        <f t="shared" si="50"/>
        <v>0</v>
      </c>
      <c r="K131" s="267">
        <f t="shared" si="50"/>
        <v>0</v>
      </c>
      <c r="L131" s="267">
        <f t="shared" si="50"/>
        <v>0</v>
      </c>
      <c r="M131" s="267">
        <f t="shared" si="50"/>
        <v>0</v>
      </c>
      <c r="N131" s="267">
        <f t="shared" si="50"/>
        <v>0</v>
      </c>
      <c r="O131" s="268">
        <f t="shared" si="50"/>
        <v>7466880698.890923</v>
      </c>
      <c r="P131" s="260"/>
      <c r="Q131" s="269">
        <f aca="true" t="shared" si="51" ref="Q131:V131">+Q17-Q130</f>
        <v>172946721</v>
      </c>
      <c r="R131" s="267">
        <f t="shared" si="51"/>
        <v>0</v>
      </c>
      <c r="S131" s="267">
        <f t="shared" si="51"/>
        <v>0</v>
      </c>
      <c r="T131" s="267">
        <f t="shared" si="51"/>
        <v>0</v>
      </c>
      <c r="U131" s="270">
        <f t="shared" si="51"/>
        <v>0</v>
      </c>
      <c r="V131" s="269">
        <f t="shared" si="51"/>
        <v>371645540.6999998</v>
      </c>
      <c r="W131" s="267">
        <f>+W17-W130</f>
        <v>7831527314.190922</v>
      </c>
      <c r="X131" s="248"/>
      <c r="Y131" s="298"/>
      <c r="Z131" s="34"/>
      <c r="AA131" s="34"/>
    </row>
    <row r="132" spans="2:27" s="2" customFormat="1" ht="16.5" thickBot="1">
      <c r="B132" s="30" t="s">
        <v>42</v>
      </c>
      <c r="C132" s="294">
        <f>SUM(C130:C131)</f>
        <v>24064227034.69092</v>
      </c>
      <c r="D132" s="294">
        <f>SUM(D130:D131)</f>
        <v>1505495404</v>
      </c>
      <c r="E132" s="294">
        <f>SUM(E130:E131)</f>
        <v>0</v>
      </c>
      <c r="F132" s="294">
        <f aca="true" t="shared" si="52" ref="F132:O132">SUM(F130:F131)</f>
        <v>0</v>
      </c>
      <c r="G132" s="294">
        <f>SUM(G130:G131)</f>
        <v>0</v>
      </c>
      <c r="H132" s="294">
        <f t="shared" si="52"/>
        <v>0</v>
      </c>
      <c r="I132" s="294">
        <f t="shared" si="52"/>
        <v>0</v>
      </c>
      <c r="J132" s="294">
        <f t="shared" si="52"/>
        <v>0</v>
      </c>
      <c r="K132" s="294">
        <f t="shared" si="52"/>
        <v>0</v>
      </c>
      <c r="L132" s="294">
        <f t="shared" si="52"/>
        <v>0</v>
      </c>
      <c r="M132" s="294">
        <f t="shared" si="52"/>
        <v>0</v>
      </c>
      <c r="N132" s="294">
        <f t="shared" si="52"/>
        <v>0</v>
      </c>
      <c r="O132" s="295">
        <f t="shared" si="52"/>
        <v>25569722438.69092</v>
      </c>
      <c r="P132" s="260"/>
      <c r="Q132" s="296">
        <f aca="true" t="shared" si="53" ref="Q132:V132">SUM(Q130:Q131)</f>
        <v>2990136076</v>
      </c>
      <c r="R132" s="294">
        <f t="shared" si="53"/>
        <v>0</v>
      </c>
      <c r="S132" s="294">
        <f t="shared" si="53"/>
        <v>0</v>
      </c>
      <c r="T132" s="294">
        <f t="shared" si="53"/>
        <v>0</v>
      </c>
      <c r="U132" s="297">
        <f t="shared" si="53"/>
        <v>0</v>
      </c>
      <c r="V132" s="296">
        <f t="shared" si="53"/>
        <v>2990136076</v>
      </c>
      <c r="W132" s="294">
        <f>SUM(W130:W131)</f>
        <v>22579586362.69092</v>
      </c>
      <c r="X132" s="247"/>
      <c r="Y132" s="298"/>
      <c r="Z132" s="34"/>
      <c r="AA132" s="34"/>
    </row>
    <row r="133" spans="2:27" s="2" customFormat="1" ht="15.75">
      <c r="B133" s="2" t="s">
        <v>43</v>
      </c>
      <c r="C133" s="1">
        <f aca="true" t="shared" si="54" ref="C133:O133">+C17-C132</f>
        <v>0</v>
      </c>
      <c r="D133" s="1">
        <f t="shared" si="54"/>
        <v>0</v>
      </c>
      <c r="E133" s="1">
        <f t="shared" si="54"/>
        <v>0</v>
      </c>
      <c r="F133" s="1">
        <f t="shared" si="54"/>
        <v>0</v>
      </c>
      <c r="G133" s="1">
        <f t="shared" si="54"/>
        <v>0</v>
      </c>
      <c r="H133" s="1">
        <f t="shared" si="54"/>
        <v>0</v>
      </c>
      <c r="I133" s="1">
        <f t="shared" si="54"/>
        <v>0</v>
      </c>
      <c r="J133" s="1">
        <f t="shared" si="54"/>
        <v>0</v>
      </c>
      <c r="K133" s="1">
        <f t="shared" si="54"/>
        <v>0</v>
      </c>
      <c r="L133" s="1">
        <f t="shared" si="54"/>
        <v>0</v>
      </c>
      <c r="M133" s="1">
        <f t="shared" si="54"/>
        <v>0</v>
      </c>
      <c r="N133" s="1">
        <f t="shared" si="54"/>
        <v>0</v>
      </c>
      <c r="O133" s="1">
        <f t="shared" si="54"/>
        <v>0</v>
      </c>
      <c r="P133" s="260"/>
      <c r="Q133" s="1"/>
      <c r="R133" s="1"/>
      <c r="S133" s="1"/>
      <c r="T133" s="1"/>
      <c r="U133" s="1"/>
      <c r="V133" s="1"/>
      <c r="W133" s="1"/>
      <c r="X133" s="257"/>
      <c r="AA133" s="34"/>
    </row>
    <row r="134" spans="2:27" s="2" customFormat="1" ht="15.75">
      <c r="B134" s="31"/>
      <c r="C134" s="1"/>
      <c r="D134" s="1"/>
      <c r="E134" s="1"/>
      <c r="F134" s="1"/>
      <c r="G134" s="1"/>
      <c r="H134" s="1"/>
      <c r="I134" s="1"/>
      <c r="J134" s="1"/>
      <c r="K134" s="1"/>
      <c r="L134" s="1"/>
      <c r="M134" s="1"/>
      <c r="N134" s="1"/>
      <c r="O134" s="1"/>
      <c r="P134" s="33"/>
      <c r="Q134" s="1"/>
      <c r="R134" s="1"/>
      <c r="S134" s="1"/>
      <c r="T134" s="1"/>
      <c r="U134" s="1"/>
      <c r="V134" s="1"/>
      <c r="W134" s="1"/>
      <c r="X134" s="257"/>
      <c r="AA134" s="34"/>
    </row>
    <row r="135" spans="2:27" s="2" customFormat="1" ht="15.75">
      <c r="B135" s="31"/>
      <c r="C135" s="1"/>
      <c r="D135" s="1"/>
      <c r="E135" s="1"/>
      <c r="F135" s="1"/>
      <c r="G135" s="1"/>
      <c r="H135" s="1"/>
      <c r="I135" s="1"/>
      <c r="J135" s="1"/>
      <c r="K135" s="1"/>
      <c r="L135" s="1"/>
      <c r="M135" s="1"/>
      <c r="N135" s="1"/>
      <c r="O135" s="1"/>
      <c r="P135" s="33"/>
      <c r="Q135" s="1"/>
      <c r="R135" s="1"/>
      <c r="S135" s="1"/>
      <c r="T135" s="1"/>
      <c r="U135" s="1"/>
      <c r="V135" s="1"/>
      <c r="W135" s="1"/>
      <c r="X135" s="257"/>
      <c r="AA135" s="34"/>
    </row>
    <row r="136" spans="3:27" s="2" customFormat="1" ht="15.75">
      <c r="C136" s="1"/>
      <c r="D136" s="1"/>
      <c r="E136" s="1"/>
      <c r="F136" s="1"/>
      <c r="G136" s="1"/>
      <c r="H136" s="1"/>
      <c r="I136" s="1"/>
      <c r="J136" s="1"/>
      <c r="K136" s="1"/>
      <c r="L136" s="1"/>
      <c r="M136" s="1"/>
      <c r="N136" s="1"/>
      <c r="O136" s="1"/>
      <c r="P136" s="33"/>
      <c r="Q136" s="1"/>
      <c r="R136" s="1"/>
      <c r="S136" s="1"/>
      <c r="T136" s="1"/>
      <c r="U136" s="1"/>
      <c r="V136" s="1"/>
      <c r="W136" s="1"/>
      <c r="X136" s="257"/>
      <c r="AA136" s="34"/>
    </row>
    <row r="137" spans="2:27" s="32" customFormat="1" ht="15.75">
      <c r="B137" s="34"/>
      <c r="C137" s="33"/>
      <c r="D137" s="33"/>
      <c r="E137" s="33"/>
      <c r="F137" s="33"/>
      <c r="G137" s="33"/>
      <c r="H137" s="33"/>
      <c r="I137" s="33"/>
      <c r="J137" s="33"/>
      <c r="K137" s="33"/>
      <c r="L137" s="33"/>
      <c r="M137" s="33"/>
      <c r="N137" s="33"/>
      <c r="O137" s="33"/>
      <c r="P137" s="33"/>
      <c r="Q137" s="33"/>
      <c r="R137" s="33"/>
      <c r="S137" s="33"/>
      <c r="T137" s="33"/>
      <c r="U137" s="33"/>
      <c r="V137" s="33"/>
      <c r="W137" s="33"/>
      <c r="X137" s="254"/>
      <c r="AA137" s="34"/>
    </row>
    <row r="138" spans="2:27" s="32" customFormat="1" ht="15.75">
      <c r="B138" s="34"/>
      <c r="C138" s="33"/>
      <c r="D138" s="33"/>
      <c r="E138" s="33"/>
      <c r="F138" s="33"/>
      <c r="G138" s="33"/>
      <c r="H138" s="33"/>
      <c r="I138" s="33"/>
      <c r="J138" s="33"/>
      <c r="K138" s="33"/>
      <c r="L138" s="33"/>
      <c r="M138" s="33"/>
      <c r="N138" s="33"/>
      <c r="O138" s="33"/>
      <c r="P138" s="33"/>
      <c r="Q138" s="33"/>
      <c r="R138" s="33"/>
      <c r="S138" s="33"/>
      <c r="T138" s="33"/>
      <c r="U138" s="33"/>
      <c r="V138" s="33"/>
      <c r="W138" s="33"/>
      <c r="X138" s="254"/>
      <c r="AA138" s="34"/>
    </row>
    <row r="139" spans="2:27" s="32" customFormat="1" ht="15.75">
      <c r="B139" s="34"/>
      <c r="C139" s="33"/>
      <c r="D139" s="33"/>
      <c r="E139" s="33"/>
      <c r="F139" s="33"/>
      <c r="G139" s="33"/>
      <c r="H139" s="33"/>
      <c r="I139" s="33"/>
      <c r="J139" s="33"/>
      <c r="K139" s="33"/>
      <c r="L139" s="33"/>
      <c r="M139" s="33"/>
      <c r="N139" s="33"/>
      <c r="O139" s="33"/>
      <c r="P139" s="33"/>
      <c r="Q139" s="33"/>
      <c r="R139" s="33"/>
      <c r="S139" s="33"/>
      <c r="T139" s="33"/>
      <c r="U139" s="33"/>
      <c r="V139" s="33"/>
      <c r="W139" s="33"/>
      <c r="X139" s="254"/>
      <c r="AA139" s="34"/>
    </row>
    <row r="140" spans="2:27" s="32" customFormat="1" ht="15.75">
      <c r="B140" s="34"/>
      <c r="C140" s="33"/>
      <c r="D140" s="33"/>
      <c r="E140" s="33"/>
      <c r="F140" s="33"/>
      <c r="G140" s="33"/>
      <c r="H140" s="33"/>
      <c r="I140" s="33"/>
      <c r="J140" s="33"/>
      <c r="K140" s="33"/>
      <c r="L140" s="33"/>
      <c r="M140" s="33"/>
      <c r="N140" s="33"/>
      <c r="O140" s="33"/>
      <c r="P140" s="33"/>
      <c r="Q140" s="33"/>
      <c r="R140" s="33"/>
      <c r="S140" s="33"/>
      <c r="T140" s="33"/>
      <c r="U140" s="33"/>
      <c r="V140" s="33"/>
      <c r="W140" s="33"/>
      <c r="X140" s="254"/>
      <c r="AA140" s="34"/>
    </row>
    <row r="141" spans="2:27" s="32" customFormat="1" ht="15.75">
      <c r="B141" s="34"/>
      <c r="C141" s="33"/>
      <c r="D141" s="33"/>
      <c r="E141" s="33"/>
      <c r="F141" s="33"/>
      <c r="G141" s="33"/>
      <c r="H141" s="33"/>
      <c r="I141" s="33"/>
      <c r="J141" s="33"/>
      <c r="K141" s="33"/>
      <c r="L141" s="33"/>
      <c r="M141" s="33"/>
      <c r="N141" s="33"/>
      <c r="O141" s="33"/>
      <c r="P141" s="33"/>
      <c r="Q141" s="33"/>
      <c r="R141" s="33"/>
      <c r="S141" s="33"/>
      <c r="T141" s="33"/>
      <c r="U141" s="33"/>
      <c r="V141" s="33"/>
      <c r="W141" s="33"/>
      <c r="X141" s="254"/>
      <c r="AA141" s="34"/>
    </row>
    <row r="142" spans="2:27" s="32" customFormat="1" ht="15.75">
      <c r="B142" s="34"/>
      <c r="C142" s="33"/>
      <c r="D142" s="33"/>
      <c r="E142" s="33"/>
      <c r="F142" s="33"/>
      <c r="G142" s="33"/>
      <c r="H142" s="33"/>
      <c r="I142" s="33"/>
      <c r="J142" s="33"/>
      <c r="K142" s="33"/>
      <c r="L142" s="33"/>
      <c r="M142" s="33"/>
      <c r="N142" s="33"/>
      <c r="O142" s="33"/>
      <c r="P142" s="33"/>
      <c r="Q142" s="33"/>
      <c r="R142" s="33"/>
      <c r="S142" s="33"/>
      <c r="T142" s="33"/>
      <c r="U142" s="33"/>
      <c r="V142" s="33"/>
      <c r="W142" s="33"/>
      <c r="X142" s="254"/>
      <c r="AA142" s="34"/>
    </row>
    <row r="143" spans="2:27" s="32" customFormat="1" ht="15.75">
      <c r="B143" s="34"/>
      <c r="C143" s="33"/>
      <c r="D143" s="33"/>
      <c r="E143" s="33"/>
      <c r="F143" s="33"/>
      <c r="G143" s="33"/>
      <c r="H143" s="33"/>
      <c r="I143" s="33"/>
      <c r="J143" s="33"/>
      <c r="K143" s="33"/>
      <c r="L143" s="33"/>
      <c r="M143" s="33"/>
      <c r="N143" s="33"/>
      <c r="O143" s="33"/>
      <c r="P143" s="33"/>
      <c r="Q143" s="33"/>
      <c r="R143" s="33"/>
      <c r="S143" s="33"/>
      <c r="T143" s="33"/>
      <c r="U143" s="33"/>
      <c r="V143" s="33"/>
      <c r="W143" s="33"/>
      <c r="X143" s="254"/>
      <c r="AA143" s="34"/>
    </row>
    <row r="144" spans="3:27" s="2" customFormat="1" ht="15.75">
      <c r="C144" s="1"/>
      <c r="D144" s="1"/>
      <c r="E144" s="1"/>
      <c r="F144" s="1"/>
      <c r="G144" s="1"/>
      <c r="H144" s="1"/>
      <c r="I144" s="1"/>
      <c r="J144" s="1"/>
      <c r="K144" s="1"/>
      <c r="L144" s="1"/>
      <c r="M144" s="1"/>
      <c r="N144" s="1"/>
      <c r="O144" s="1"/>
      <c r="P144" s="33"/>
      <c r="Q144" s="1"/>
      <c r="R144" s="1"/>
      <c r="S144" s="1"/>
      <c r="T144" s="1"/>
      <c r="U144" s="1"/>
      <c r="V144" s="1"/>
      <c r="W144" s="1"/>
      <c r="X144" s="257"/>
      <c r="AA144" s="34"/>
    </row>
    <row r="145" spans="3:27" s="2" customFormat="1" ht="15.75">
      <c r="C145" s="1"/>
      <c r="D145" s="1"/>
      <c r="E145" s="1"/>
      <c r="F145" s="1"/>
      <c r="G145" s="1"/>
      <c r="H145" s="1"/>
      <c r="I145" s="1"/>
      <c r="J145" s="1"/>
      <c r="K145" s="1"/>
      <c r="L145" s="1"/>
      <c r="M145" s="1"/>
      <c r="N145" s="1"/>
      <c r="O145" s="1"/>
      <c r="P145" s="33"/>
      <c r="Q145" s="1"/>
      <c r="R145" s="1"/>
      <c r="S145" s="1"/>
      <c r="T145" s="1"/>
      <c r="U145" s="1"/>
      <c r="V145" s="1"/>
      <c r="W145" s="1"/>
      <c r="X145" s="257"/>
      <c r="AA145" s="34"/>
    </row>
  </sheetData>
  <sheetProtection/>
  <mergeCells count="6">
    <mergeCell ref="B7:B8"/>
    <mergeCell ref="W7:W8"/>
    <mergeCell ref="B2:X2"/>
    <mergeCell ref="B3:X3"/>
    <mergeCell ref="B4:X4"/>
    <mergeCell ref="B5:X5"/>
  </mergeCells>
  <printOptions horizontalCentered="1"/>
  <pageMargins left="0.1968503937007874" right="0.1968503937007874" top="0.3937007874015748" bottom="0.3937007874015748" header="0.31496062992125984" footer="0.31496062992125984"/>
  <pageSetup horizontalDpi="600" verticalDpi="600" orientation="portrait" scale="80" r:id="rId1"/>
</worksheet>
</file>

<file path=xl/worksheets/sheet3.xml><?xml version="1.0" encoding="utf-8"?>
<worksheet xmlns="http://schemas.openxmlformats.org/spreadsheetml/2006/main" xmlns:r="http://schemas.openxmlformats.org/officeDocument/2006/relationships">
  <sheetPr>
    <tabColor rgb="FFEDD7EB"/>
  </sheetPr>
  <dimension ref="A1:Q153"/>
  <sheetViews>
    <sheetView zoomScale="80" zoomScaleNormal="80" zoomScalePageLayoutView="0" workbookViewId="0" topLeftCell="A1">
      <selection activeCell="A1" sqref="A1:H131"/>
    </sheetView>
  </sheetViews>
  <sheetFormatPr defaultColWidth="23.57421875" defaultRowHeight="15"/>
  <cols>
    <col min="1" max="1" width="24.8515625" style="201" bestFit="1" customWidth="1"/>
    <col min="2" max="2" width="19.8515625" style="201" customWidth="1"/>
    <col min="3" max="3" width="17.57421875" style="201" customWidth="1"/>
    <col min="4" max="4" width="18.421875" style="201" customWidth="1"/>
    <col min="5" max="5" width="18.28125" style="204" bestFit="1" customWidth="1"/>
    <col min="6" max="6" width="19.00390625" style="204" bestFit="1" customWidth="1"/>
    <col min="7" max="7" width="17.57421875" style="204" bestFit="1" customWidth="1"/>
    <col min="8" max="8" width="15.7109375" style="201" customWidth="1"/>
    <col min="9" max="9" width="18.57421875" style="206" bestFit="1" customWidth="1"/>
    <col min="10" max="16384" width="23.57421875" style="201" customWidth="1"/>
  </cols>
  <sheetData>
    <row r="1" spans="1:12" s="199" customFormat="1" ht="31.5">
      <c r="A1" s="84" t="s">
        <v>72</v>
      </c>
      <c r="B1" s="175" t="s">
        <v>113</v>
      </c>
      <c r="C1" s="176" t="s">
        <v>160</v>
      </c>
      <c r="D1" s="175" t="s">
        <v>114</v>
      </c>
      <c r="E1" s="176" t="s">
        <v>161</v>
      </c>
      <c r="F1" s="176" t="s">
        <v>115</v>
      </c>
      <c r="G1" s="167" t="s">
        <v>162</v>
      </c>
      <c r="H1" s="176" t="s">
        <v>116</v>
      </c>
      <c r="I1" s="197"/>
      <c r="J1" s="198"/>
      <c r="K1" s="198"/>
      <c r="L1" s="198"/>
    </row>
    <row r="2" spans="1:10" ht="18.75" customHeight="1">
      <c r="A2" s="86" t="str">
        <f>+'[4]PROYECCIÓN CIERRE 2022'!A2</f>
        <v>CENTRAL DE ABASTOS</v>
      </c>
      <c r="B2" s="166">
        <f>+G2/$G$9</f>
        <v>0</v>
      </c>
      <c r="C2" s="177">
        <v>0</v>
      </c>
      <c r="D2" s="177">
        <f>ROUNDUP((C2*'[4]FACTORES 2024'!$E$5),0)</f>
        <v>0</v>
      </c>
      <c r="E2" s="166">
        <v>0</v>
      </c>
      <c r="F2" s="177">
        <f>ROUNDUP((C2*E2),0)</f>
        <v>0</v>
      </c>
      <c r="G2" s="177">
        <f>+C2+D2+F2</f>
        <v>0</v>
      </c>
      <c r="H2" s="177">
        <f aca="true" t="shared" si="0" ref="H2:H9">+G2-C2</f>
        <v>0</v>
      </c>
      <c r="I2" s="198"/>
      <c r="J2" s="200"/>
    </row>
    <row r="3" spans="1:10" ht="18.75" customHeight="1">
      <c r="A3" s="86" t="str">
        <f>+'[4]PROYECCIÓN CIERRE 2022'!A3</f>
        <v>COMERCIALIZADOR</v>
      </c>
      <c r="B3" s="166">
        <f aca="true" t="shared" si="1" ref="B3:B8">+G3/$G$9</f>
        <v>0.04143107795276293</v>
      </c>
      <c r="C3" s="177">
        <f>89396306+C2</f>
        <v>89396306</v>
      </c>
      <c r="D3" s="177">
        <f>+ROUNDUP((C3*'[4]FACTORES 2024'!$E$5),0)+D2</f>
        <v>17074831</v>
      </c>
      <c r="E3" s="166">
        <v>0.0455</v>
      </c>
      <c r="F3" s="177">
        <f aca="true" t="shared" si="2" ref="F3:F8">ROUNDUP((C3*E3),0)</f>
        <v>4067532</v>
      </c>
      <c r="G3" s="177">
        <f aca="true" t="shared" si="3" ref="G3:G8">+C3+D3+F3</f>
        <v>110538669</v>
      </c>
      <c r="H3" s="177">
        <f t="shared" si="0"/>
        <v>21142363</v>
      </c>
      <c r="I3" s="198"/>
      <c r="J3" s="200"/>
    </row>
    <row r="4" spans="1:10" ht="18.75" customHeight="1">
      <c r="A4" s="86" t="str">
        <f>+'[4]PROYECCIÓN CIERRE 2022'!A4</f>
        <v>FRUVER</v>
      </c>
      <c r="B4" s="166">
        <f t="shared" si="1"/>
        <v>0.16455207966973034</v>
      </c>
      <c r="C4" s="177">
        <v>237452963</v>
      </c>
      <c r="D4" s="177">
        <f>ROUNDUP((C4*'[4]FACTORES 2024'!$E$5),0)</f>
        <v>45353877</v>
      </c>
      <c r="E4" s="166">
        <v>0.6579</v>
      </c>
      <c r="F4" s="177">
        <f t="shared" si="2"/>
        <v>156220305</v>
      </c>
      <c r="G4" s="177">
        <f t="shared" si="3"/>
        <v>439027145</v>
      </c>
      <c r="H4" s="177">
        <f t="shared" si="0"/>
        <v>201574182</v>
      </c>
      <c r="I4" s="200"/>
      <c r="J4" s="200"/>
    </row>
    <row r="5" spans="1:10" ht="18.75" customHeight="1">
      <c r="A5" s="86" t="str">
        <f>+'[4]PROYECCIÓN CIERRE 2022'!A5</f>
        <v>GRANDES SUPERFICIES</v>
      </c>
      <c r="B5" s="166">
        <f t="shared" si="1"/>
        <v>0.038598551269316966</v>
      </c>
      <c r="C5" s="177">
        <v>86459003</v>
      </c>
      <c r="D5" s="177">
        <f>ROUNDUP((C5*'[4]FACTORES 2024'!$E$5),0)</f>
        <v>16513801</v>
      </c>
      <c r="E5" s="166">
        <v>0.0001</v>
      </c>
      <c r="F5" s="177">
        <f t="shared" si="2"/>
        <v>8646</v>
      </c>
      <c r="G5" s="177">
        <f t="shared" si="3"/>
        <v>102981450</v>
      </c>
      <c r="H5" s="177">
        <f t="shared" si="0"/>
        <v>16522447</v>
      </c>
      <c r="I5" s="198"/>
      <c r="J5" s="200"/>
    </row>
    <row r="6" spans="1:10" ht="18.75" customHeight="1">
      <c r="A6" s="86" t="str">
        <f>+'[4]PROYECCIÓN CIERRE 2022'!A6</f>
        <v>HORECA</v>
      </c>
      <c r="B6" s="166">
        <f t="shared" si="1"/>
        <v>0.02496642531789912</v>
      </c>
      <c r="C6" s="177">
        <v>50723940</v>
      </c>
      <c r="D6" s="177">
        <f>ROUNDUP((C6*'[4]FACTORES 2024'!$E$5),0)</f>
        <v>9688350</v>
      </c>
      <c r="E6" s="166">
        <v>0.1222</v>
      </c>
      <c r="F6" s="177">
        <f t="shared" si="2"/>
        <v>6198466</v>
      </c>
      <c r="G6" s="177">
        <f t="shared" si="3"/>
        <v>66610756</v>
      </c>
      <c r="H6" s="177">
        <f t="shared" si="0"/>
        <v>15886816</v>
      </c>
      <c r="I6" s="198"/>
      <c r="J6" s="200"/>
    </row>
    <row r="7" spans="1:11" ht="18.75" customHeight="1">
      <c r="A7" s="86" t="str">
        <f>+'[4]PROYECCIÓN CIERRE 2022'!A7</f>
        <v>INDUSTRIA</v>
      </c>
      <c r="B7" s="166">
        <f t="shared" si="1"/>
        <v>0.7288140224102058</v>
      </c>
      <c r="C7" s="177">
        <v>1387925362</v>
      </c>
      <c r="D7" s="177">
        <f>ROUNDUP((C7*'[4]FACTORES 2024'!$E$5),0)</f>
        <v>265095851</v>
      </c>
      <c r="E7" s="166">
        <v>0.21</v>
      </c>
      <c r="F7" s="177">
        <f t="shared" si="2"/>
        <v>291464327</v>
      </c>
      <c r="G7" s="177">
        <f t="shared" si="3"/>
        <v>1944485540</v>
      </c>
      <c r="H7" s="177">
        <f t="shared" si="0"/>
        <v>556560178</v>
      </c>
      <c r="I7" s="198"/>
      <c r="J7" s="200"/>
      <c r="K7" s="202"/>
    </row>
    <row r="8" spans="1:11" ht="18.75" customHeight="1">
      <c r="A8" s="86" t="str">
        <f>+'[4]PROYECCIÓN CIERRE 2022'!A8</f>
        <v>SEMILLERISTA</v>
      </c>
      <c r="B8" s="166">
        <f t="shared" si="1"/>
        <v>0.0016378433800849186</v>
      </c>
      <c r="C8" s="177">
        <v>3546613</v>
      </c>
      <c r="D8" s="177">
        <f>ROUNDUP((C8*'[4]FACTORES 2024'!$E$5),0)</f>
        <v>677409</v>
      </c>
      <c r="E8" s="166">
        <v>0.0411</v>
      </c>
      <c r="F8" s="177">
        <f t="shared" si="2"/>
        <v>145766</v>
      </c>
      <c r="G8" s="177">
        <f t="shared" si="3"/>
        <v>4369788</v>
      </c>
      <c r="H8" s="177">
        <f t="shared" si="0"/>
        <v>823175</v>
      </c>
      <c r="I8" s="198"/>
      <c r="J8" s="200"/>
      <c r="K8" s="203"/>
    </row>
    <row r="9" spans="1:10" s="199" customFormat="1" ht="18">
      <c r="A9" s="84" t="s">
        <v>3</v>
      </c>
      <c r="B9" s="167">
        <f>SUM(B2:B8)</f>
        <v>1</v>
      </c>
      <c r="C9" s="178">
        <f>SUM(C3:C8)</f>
        <v>1855504187</v>
      </c>
      <c r="D9" s="178">
        <f>SUM(D3:D8)</f>
        <v>354404119</v>
      </c>
      <c r="E9" s="167">
        <f>+F9/C9</f>
        <v>0.24688979157771096</v>
      </c>
      <c r="F9" s="178">
        <f>SUM(F2:F8)</f>
        <v>458105042</v>
      </c>
      <c r="G9" s="176">
        <f>SUM(G2:G8)</f>
        <v>2668013348</v>
      </c>
      <c r="H9" s="178">
        <f t="shared" si="0"/>
        <v>812509161</v>
      </c>
      <c r="I9" s="198"/>
      <c r="J9" s="200"/>
    </row>
    <row r="10" spans="7:10" ht="18">
      <c r="G10" s="205"/>
      <c r="I10" s="198"/>
      <c r="J10" s="200"/>
    </row>
    <row r="11" spans="1:10" s="199" customFormat="1" ht="51.75" customHeight="1">
      <c r="A11" s="84" t="s">
        <v>65</v>
      </c>
      <c r="B11" s="175" t="str">
        <f>+B1</f>
        <v>% PARTICIPACIÓN POR CANAL</v>
      </c>
      <c r="C11" s="176" t="str">
        <f aca="true" t="shared" si="4" ref="C11:H11">+C1</f>
        <v>PROYECTADO 2023</v>
      </c>
      <c r="D11" s="175" t="str">
        <f t="shared" si="4"/>
        <v>FACTOR PRECIO</v>
      </c>
      <c r="E11" s="176" t="str">
        <f t="shared" si="4"/>
        <v>% GESTIÓN 2024</v>
      </c>
      <c r="F11" s="176" t="str">
        <f t="shared" si="4"/>
        <v>FACTOR GESTIÓN</v>
      </c>
      <c r="G11" s="167" t="str">
        <f t="shared" si="4"/>
        <v>META 2024</v>
      </c>
      <c r="H11" s="176" t="str">
        <f t="shared" si="4"/>
        <v>DIFERENCIA</v>
      </c>
      <c r="I11" s="198"/>
      <c r="J11" s="200"/>
    </row>
    <row r="12" spans="1:10" ht="18.75" customHeight="1">
      <c r="A12" s="86" t="str">
        <f>+'[4]PROYECCIÓN CIERRE 2022'!A12</f>
        <v>CENTRAL DE ABASTOS</v>
      </c>
      <c r="B12" s="166">
        <f>+G12/$G$19</f>
        <v>0.013814198690558603</v>
      </c>
      <c r="C12" s="177">
        <v>558801</v>
      </c>
      <c r="D12" s="177">
        <f>ROUNDUP((C12*'[4]FACTORES 2024'!$E$5),0)</f>
        <v>106732</v>
      </c>
      <c r="E12" s="166">
        <v>4.5409</v>
      </c>
      <c r="F12" s="177">
        <f aca="true" t="shared" si="5" ref="F12:F18">ROUNDUP((C12*E12),0)</f>
        <v>2537460</v>
      </c>
      <c r="G12" s="177">
        <f>+C12+D12+F12</f>
        <v>3202993</v>
      </c>
      <c r="H12" s="177">
        <f aca="true" t="shared" si="6" ref="H12:H19">+G12-C12</f>
        <v>2644192</v>
      </c>
      <c r="I12" s="198"/>
      <c r="J12" s="200"/>
    </row>
    <row r="13" spans="1:10" ht="18.75" customHeight="1">
      <c r="A13" s="86" t="str">
        <f>+'[4]PROYECCIÓN CIERRE 2022'!A13</f>
        <v>COMERCIALIZADOR</v>
      </c>
      <c r="B13" s="166">
        <f aca="true" t="shared" si="7" ref="B13:B18">+G13/$G$19</f>
        <v>0.2718200198246045</v>
      </c>
      <c r="C13" s="177">
        <v>52913068</v>
      </c>
      <c r="D13" s="177">
        <f>ROUNDUP((C13*'[4]FACTORES 2024'!$E$5),0)</f>
        <v>10106477</v>
      </c>
      <c r="E13" s="166">
        <v>0.0001</v>
      </c>
      <c r="F13" s="177">
        <f t="shared" si="5"/>
        <v>5292</v>
      </c>
      <c r="G13" s="177">
        <f aca="true" t="shared" si="8" ref="G13:G18">+C13+D13+F13</f>
        <v>63024837</v>
      </c>
      <c r="H13" s="177">
        <f t="shared" si="6"/>
        <v>10111769</v>
      </c>
      <c r="I13" s="198"/>
      <c r="J13" s="200"/>
    </row>
    <row r="14" spans="1:10" ht="18.75" customHeight="1">
      <c r="A14" s="86" t="str">
        <f>+'[4]PROYECCIÓN CIERRE 2022'!A14</f>
        <v>FRUVER</v>
      </c>
      <c r="B14" s="166">
        <f t="shared" si="7"/>
        <v>0.2827980533849517</v>
      </c>
      <c r="C14" s="177">
        <v>47765201</v>
      </c>
      <c r="D14" s="177">
        <f>ROUNDUP((C14*'[4]FACTORES 2024'!$E$5),0)</f>
        <v>9123226</v>
      </c>
      <c r="E14" s="166">
        <v>0.18176</v>
      </c>
      <c r="F14" s="177">
        <f t="shared" si="5"/>
        <v>8681803</v>
      </c>
      <c r="G14" s="177">
        <f t="shared" si="8"/>
        <v>65570230</v>
      </c>
      <c r="H14" s="177">
        <f t="shared" si="6"/>
        <v>17805029</v>
      </c>
      <c r="I14" s="200"/>
      <c r="J14" s="200"/>
    </row>
    <row r="15" spans="1:10" ht="18.75" customHeight="1">
      <c r="A15" s="86" t="str">
        <f>+'[4]PROYECCIÓN CIERRE 2022'!A15</f>
        <v>GRANDES SUPERFICIES</v>
      </c>
      <c r="B15" s="166">
        <f t="shared" si="7"/>
        <v>0</v>
      </c>
      <c r="C15" s="177">
        <v>0</v>
      </c>
      <c r="D15" s="177">
        <f>ROUNDUP((C15*'[4]FACTORES 2024'!$E$5),0)</f>
        <v>0</v>
      </c>
      <c r="E15" s="166">
        <v>0</v>
      </c>
      <c r="F15" s="177">
        <f t="shared" si="5"/>
        <v>0</v>
      </c>
      <c r="G15" s="177">
        <f t="shared" si="8"/>
        <v>0</v>
      </c>
      <c r="H15" s="177">
        <f t="shared" si="6"/>
        <v>0</v>
      </c>
      <c r="I15" s="198"/>
      <c r="J15" s="200"/>
    </row>
    <row r="16" spans="1:10" ht="18.75" customHeight="1">
      <c r="A16" s="86" t="str">
        <f>+'[4]PROYECCIÓN CIERRE 2022'!A16</f>
        <v>HORECA</v>
      </c>
      <c r="B16" s="166">
        <f t="shared" si="7"/>
        <v>0.030031508216074084</v>
      </c>
      <c r="C16" s="177">
        <v>5764688</v>
      </c>
      <c r="D16" s="177">
        <f>ROUNDUP((C16*'[4]FACTORES 2024'!$E$5),0)</f>
        <v>1101065</v>
      </c>
      <c r="E16" s="166">
        <v>0.0169</v>
      </c>
      <c r="F16" s="177">
        <f t="shared" si="5"/>
        <v>97424</v>
      </c>
      <c r="G16" s="177">
        <f t="shared" si="8"/>
        <v>6963177</v>
      </c>
      <c r="H16" s="177">
        <f t="shared" si="6"/>
        <v>1198489</v>
      </c>
      <c r="I16" s="198"/>
      <c r="J16" s="200"/>
    </row>
    <row r="17" spans="1:10" ht="18.75" customHeight="1">
      <c r="A17" s="86" t="str">
        <f>+'[4]PROYECCIÓN CIERRE 2022'!A17</f>
        <v>INDUSTRIA</v>
      </c>
      <c r="B17" s="166">
        <f t="shared" si="7"/>
        <v>0.3723811151581334</v>
      </c>
      <c r="C17" s="177">
        <v>62847947</v>
      </c>
      <c r="D17" s="177">
        <f>ROUNDUP((C17*'[4]FACTORES 2024'!$E$5),0)</f>
        <v>12004054</v>
      </c>
      <c r="E17" s="166">
        <v>0.182809</v>
      </c>
      <c r="F17" s="177">
        <f t="shared" si="5"/>
        <v>11489171</v>
      </c>
      <c r="G17" s="177">
        <f t="shared" si="8"/>
        <v>86341172</v>
      </c>
      <c r="H17" s="177">
        <f t="shared" si="6"/>
        <v>23493225</v>
      </c>
      <c r="I17" s="200"/>
      <c r="J17" s="200"/>
    </row>
    <row r="18" spans="1:10" ht="18.75" customHeight="1">
      <c r="A18" s="86" t="str">
        <f>+'[4]PROYECCIÓN CIERRE 2022'!A18</f>
        <v>SEMILLERISTA</v>
      </c>
      <c r="B18" s="166">
        <f t="shared" si="7"/>
        <v>0.029155104725677772</v>
      </c>
      <c r="C18" s="177">
        <v>5587207</v>
      </c>
      <c r="D18" s="177">
        <f>ROUNDUP((C18*'[4]FACTORES 2024'!$E$5),0)</f>
        <v>1067166</v>
      </c>
      <c r="E18" s="166">
        <v>0.0189</v>
      </c>
      <c r="F18" s="177">
        <f t="shared" si="5"/>
        <v>105599</v>
      </c>
      <c r="G18" s="177">
        <f t="shared" si="8"/>
        <v>6759972</v>
      </c>
      <c r="H18" s="177">
        <f t="shared" si="6"/>
        <v>1172765</v>
      </c>
      <c r="I18" s="198"/>
      <c r="J18" s="200"/>
    </row>
    <row r="19" spans="1:10" s="199" customFormat="1" ht="18">
      <c r="A19" s="84" t="s">
        <v>3</v>
      </c>
      <c r="B19" s="167">
        <f>SUM(B12:B18)</f>
        <v>1</v>
      </c>
      <c r="C19" s="178">
        <f>SUM(C12:C18)</f>
        <v>175436912</v>
      </c>
      <c r="D19" s="178">
        <f>SUM(D12:D18)</f>
        <v>33508720</v>
      </c>
      <c r="E19" s="167">
        <f>+F19/C19</f>
        <v>0.1306267235255486</v>
      </c>
      <c r="F19" s="178">
        <f>SUM(F12:F18)</f>
        <v>22916749</v>
      </c>
      <c r="G19" s="176">
        <f>SUM(G12:G18)</f>
        <v>231862381</v>
      </c>
      <c r="H19" s="178">
        <f t="shared" si="6"/>
        <v>56425469</v>
      </c>
      <c r="I19" s="198"/>
      <c r="J19" s="200"/>
    </row>
    <row r="20" spans="7:10" ht="18">
      <c r="G20" s="205"/>
      <c r="I20" s="198"/>
      <c r="J20" s="200"/>
    </row>
    <row r="21" spans="1:10" s="199" customFormat="1" ht="52.5" customHeight="1">
      <c r="A21" s="84" t="s">
        <v>66</v>
      </c>
      <c r="B21" s="175" t="str">
        <f>+B11</f>
        <v>% PARTICIPACIÓN POR CANAL</v>
      </c>
      <c r="C21" s="176" t="str">
        <f aca="true" t="shared" si="9" ref="C21:H21">+C11</f>
        <v>PROYECTADO 2023</v>
      </c>
      <c r="D21" s="175" t="str">
        <f t="shared" si="9"/>
        <v>FACTOR PRECIO</v>
      </c>
      <c r="E21" s="176" t="str">
        <f t="shared" si="9"/>
        <v>% GESTIÓN 2024</v>
      </c>
      <c r="F21" s="176" t="str">
        <f t="shared" si="9"/>
        <v>FACTOR GESTIÓN</v>
      </c>
      <c r="G21" s="167" t="str">
        <f t="shared" si="9"/>
        <v>META 2024</v>
      </c>
      <c r="H21" s="176" t="str">
        <f t="shared" si="9"/>
        <v>DIFERENCIA</v>
      </c>
      <c r="I21" s="198"/>
      <c r="J21" s="200"/>
    </row>
    <row r="22" spans="1:10" ht="18">
      <c r="A22" s="86" t="str">
        <f>+'[4]PROYECCIÓN CIERRE 2022'!A22</f>
        <v>CENTRAL DE ABASTOS</v>
      </c>
      <c r="B22" s="166">
        <f>+G22/$G$29</f>
        <v>0.012983956131855946</v>
      </c>
      <c r="C22" s="177">
        <v>13941338</v>
      </c>
      <c r="D22" s="177">
        <f>ROUNDUP((C22*'[4]FACTORES 2024'!$E$5),0)</f>
        <v>2662817</v>
      </c>
      <c r="E22" s="166">
        <v>0.038</v>
      </c>
      <c r="F22" s="177">
        <f aca="true" t="shared" si="10" ref="F22:F28">ROUNDUP((C22*E22),0)</f>
        <v>529771</v>
      </c>
      <c r="G22" s="177">
        <f>+C22+D22+F22</f>
        <v>17133926</v>
      </c>
      <c r="H22" s="177">
        <f aca="true" t="shared" si="11" ref="H22:H29">+G22-C22</f>
        <v>3192588</v>
      </c>
      <c r="I22" s="198"/>
      <c r="J22" s="200"/>
    </row>
    <row r="23" spans="1:10" ht="18">
      <c r="A23" s="86" t="str">
        <f>+'[4]PROYECCIÓN CIERRE 2022'!A23</f>
        <v>COMERCIALIZADOR</v>
      </c>
      <c r="B23" s="166">
        <f aca="true" t="shared" si="12" ref="B23:B28">+G23/$G$29</f>
        <v>0.09312513967626533</v>
      </c>
      <c r="C23" s="177">
        <v>103151811</v>
      </c>
      <c r="D23" s="177">
        <f>ROUNDUP((C23*'[4]FACTORES 2024'!$E$5),0)</f>
        <v>19702153</v>
      </c>
      <c r="E23" s="166">
        <v>0.00035</v>
      </c>
      <c r="F23" s="177">
        <f t="shared" si="10"/>
        <v>36104</v>
      </c>
      <c r="G23" s="177">
        <f aca="true" t="shared" si="13" ref="G23:G28">+C23+D23+F23</f>
        <v>122890068</v>
      </c>
      <c r="H23" s="177">
        <f t="shared" si="11"/>
        <v>19738257</v>
      </c>
      <c r="I23" s="198"/>
      <c r="J23" s="200"/>
    </row>
    <row r="24" spans="1:10" ht="18">
      <c r="A24" s="86" t="str">
        <f>+'[4]PROYECCIÓN CIERRE 2022'!A24</f>
        <v>FRUVER</v>
      </c>
      <c r="B24" s="166">
        <f t="shared" si="12"/>
        <v>0.5170119765243967</v>
      </c>
      <c r="C24" s="177">
        <v>547560207</v>
      </c>
      <c r="D24" s="177">
        <f>ROUNDUP((C24*'[4]FACTORES 2024'!$E$5),0)</f>
        <v>104584831</v>
      </c>
      <c r="E24" s="166">
        <v>0.055</v>
      </c>
      <c r="F24" s="177">
        <f t="shared" si="10"/>
        <v>30115812</v>
      </c>
      <c r="G24" s="177">
        <f t="shared" si="13"/>
        <v>682260850</v>
      </c>
      <c r="H24" s="177">
        <f t="shared" si="11"/>
        <v>134700643</v>
      </c>
      <c r="I24" s="198"/>
      <c r="J24" s="200"/>
    </row>
    <row r="25" spans="1:10" ht="18">
      <c r="A25" s="86" t="str">
        <f>+'[4]PROYECCIÓN CIERRE 2022'!A25</f>
        <v>GRANDES SUPERFICIES</v>
      </c>
      <c r="B25" s="166">
        <f t="shared" si="12"/>
        <v>0.017211580515510177</v>
      </c>
      <c r="C25" s="177">
        <v>18906508</v>
      </c>
      <c r="D25" s="177">
        <f>ROUNDUP((C25*'[4]FACTORES 2024'!$E$5),0)</f>
        <v>3611172</v>
      </c>
      <c r="E25" s="166">
        <v>0.01032</v>
      </c>
      <c r="F25" s="177">
        <f t="shared" si="10"/>
        <v>195116</v>
      </c>
      <c r="G25" s="177">
        <f t="shared" si="13"/>
        <v>22712796</v>
      </c>
      <c r="H25" s="177">
        <f t="shared" si="11"/>
        <v>3806288</v>
      </c>
      <c r="I25" s="198"/>
      <c r="J25" s="200"/>
    </row>
    <row r="26" spans="1:10" ht="18">
      <c r="A26" s="86" t="str">
        <f>+'[4]PROYECCIÓN CIERRE 2022'!A26</f>
        <v>HORECA</v>
      </c>
      <c r="B26" s="166">
        <f t="shared" si="12"/>
        <v>0.03374349944599931</v>
      </c>
      <c r="C26" s="177">
        <v>36267013</v>
      </c>
      <c r="D26" s="177">
        <f>ROUNDUP((C26*'[4]FACTORES 2024'!$E$5),0)</f>
        <v>6927055</v>
      </c>
      <c r="E26" s="166">
        <v>0.0368</v>
      </c>
      <c r="F26" s="177">
        <f t="shared" si="10"/>
        <v>1334627</v>
      </c>
      <c r="G26" s="177">
        <f t="shared" si="13"/>
        <v>44528695</v>
      </c>
      <c r="H26" s="177">
        <f t="shared" si="11"/>
        <v>8261682</v>
      </c>
      <c r="I26" s="198"/>
      <c r="J26" s="200"/>
    </row>
    <row r="27" spans="1:10" ht="18">
      <c r="A27" s="86" t="str">
        <f>+'[4]PROYECCIÓN CIERRE 2022'!A27</f>
        <v>INDUSTRIA</v>
      </c>
      <c r="B27" s="166">
        <f t="shared" si="12"/>
        <v>0.31627642503375997</v>
      </c>
      <c r="C27" s="177">
        <v>349962339</v>
      </c>
      <c r="D27" s="177">
        <f>ROUNDUP((C27*'[4]FACTORES 2024'!$E$5),0)</f>
        <v>66843338</v>
      </c>
      <c r="E27" s="166">
        <v>0.0016</v>
      </c>
      <c r="F27" s="177">
        <f t="shared" si="10"/>
        <v>559940</v>
      </c>
      <c r="G27" s="177">
        <f t="shared" si="13"/>
        <v>417365617</v>
      </c>
      <c r="H27" s="177">
        <f t="shared" si="11"/>
        <v>67403278</v>
      </c>
      <c r="I27" s="198"/>
      <c r="J27" s="200"/>
    </row>
    <row r="28" spans="1:10" ht="18">
      <c r="A28" s="86" t="str">
        <f>+'[4]PROYECCIÓN CIERRE 2022'!A28</f>
        <v>SEMILLERISTA</v>
      </c>
      <c r="B28" s="166">
        <f t="shared" si="12"/>
        <v>0.00964742267221259</v>
      </c>
      <c r="C28" s="177">
        <v>10564835</v>
      </c>
      <c r="D28" s="177">
        <f>ROUNDUP((C28*'[4]FACTORES 2024'!$E$5),0)</f>
        <v>2017900</v>
      </c>
      <c r="E28" s="166">
        <v>0.01403</v>
      </c>
      <c r="F28" s="177">
        <f t="shared" si="10"/>
        <v>148225</v>
      </c>
      <c r="G28" s="177">
        <f t="shared" si="13"/>
        <v>12730960</v>
      </c>
      <c r="H28" s="177">
        <f t="shared" si="11"/>
        <v>2166125</v>
      </c>
      <c r="I28" s="198"/>
      <c r="J28" s="200"/>
    </row>
    <row r="29" spans="1:10" s="199" customFormat="1" ht="18">
      <c r="A29" s="84" t="s">
        <v>3</v>
      </c>
      <c r="B29" s="167">
        <f>SUM(B22:B28)</f>
        <v>1</v>
      </c>
      <c r="C29" s="178">
        <f>SUM(C22:C28)</f>
        <v>1080354051</v>
      </c>
      <c r="D29" s="178">
        <f>SUM(D22:D28)</f>
        <v>206349266</v>
      </c>
      <c r="E29" s="167">
        <f>+F29/C29</f>
        <v>0.03047111728745672</v>
      </c>
      <c r="F29" s="178">
        <f>SUM(F22:F28)</f>
        <v>32919595</v>
      </c>
      <c r="G29" s="176">
        <f>SUM(G22:G28)</f>
        <v>1319622912</v>
      </c>
      <c r="H29" s="178">
        <f t="shared" si="11"/>
        <v>239268861</v>
      </c>
      <c r="I29" s="198"/>
      <c r="J29" s="200"/>
    </row>
    <row r="30" spans="7:10" ht="18">
      <c r="G30" s="205"/>
      <c r="I30" s="198"/>
      <c r="J30" s="200"/>
    </row>
    <row r="31" spans="1:10" s="199" customFormat="1" ht="51.75" customHeight="1">
      <c r="A31" s="84" t="s">
        <v>67</v>
      </c>
      <c r="B31" s="175" t="str">
        <f>+B21</f>
        <v>% PARTICIPACIÓN POR CANAL</v>
      </c>
      <c r="C31" s="176" t="str">
        <f aca="true" t="shared" si="14" ref="C31:H31">+C21</f>
        <v>PROYECTADO 2023</v>
      </c>
      <c r="D31" s="175" t="str">
        <f t="shared" si="14"/>
        <v>FACTOR PRECIO</v>
      </c>
      <c r="E31" s="176" t="str">
        <f t="shared" si="14"/>
        <v>% GESTIÓN 2024</v>
      </c>
      <c r="F31" s="176" t="str">
        <f t="shared" si="14"/>
        <v>FACTOR GESTIÓN</v>
      </c>
      <c r="G31" s="167" t="str">
        <f t="shared" si="14"/>
        <v>META 2024</v>
      </c>
      <c r="H31" s="176" t="str">
        <f t="shared" si="14"/>
        <v>DIFERENCIA</v>
      </c>
      <c r="I31" s="198"/>
      <c r="J31" s="200"/>
    </row>
    <row r="32" spans="1:10" ht="18">
      <c r="A32" s="86" t="str">
        <f>+'[4]PROYECCIÓN CIERRE 2022'!A32</f>
        <v>CENTRAL DE ABASTOS</v>
      </c>
      <c r="B32" s="166">
        <f>+G32/$G$39</f>
        <v>0.30223883147033176</v>
      </c>
      <c r="C32" s="177">
        <v>447027039</v>
      </c>
      <c r="D32" s="177">
        <f>ROUNDUP((C32*'[4]FACTORES 2024'!$E$5),0)</f>
        <v>85382843</v>
      </c>
      <c r="E32" s="168">
        <v>0.0691</v>
      </c>
      <c r="F32" s="177">
        <f aca="true" t="shared" si="15" ref="F32:F38">ROUNDUP((C32*E32),0)</f>
        <v>30889569</v>
      </c>
      <c r="G32" s="177">
        <f>+C32+D32+F32</f>
        <v>563299451</v>
      </c>
      <c r="H32" s="177">
        <f aca="true" t="shared" si="16" ref="H32:H39">+G32-C32</f>
        <v>116272412</v>
      </c>
      <c r="I32" s="198"/>
      <c r="J32" s="200"/>
    </row>
    <row r="33" spans="1:10" ht="18">
      <c r="A33" s="86" t="str">
        <f>+'[4]PROYECCIÓN CIERRE 2022'!A33</f>
        <v>COMERCIALIZADOR</v>
      </c>
      <c r="B33" s="166">
        <f aca="true" t="shared" si="17" ref="B33:B38">+G33/$G$39</f>
        <v>0.22215629764305458</v>
      </c>
      <c r="C33" s="177">
        <v>338714520</v>
      </c>
      <c r="D33" s="177">
        <f>ROUNDUP((C33*'[4]FACTORES 2024'!$E$5),0)</f>
        <v>64694988</v>
      </c>
      <c r="E33" s="168">
        <v>0.0314</v>
      </c>
      <c r="F33" s="177">
        <f t="shared" si="15"/>
        <v>10635636</v>
      </c>
      <c r="G33" s="177">
        <f aca="true" t="shared" si="18" ref="G33:G38">+C33+D33+F33</f>
        <v>414045144</v>
      </c>
      <c r="H33" s="177">
        <f t="shared" si="16"/>
        <v>75330624</v>
      </c>
      <c r="I33" s="198"/>
      <c r="J33" s="200"/>
    </row>
    <row r="34" spans="1:10" ht="18">
      <c r="A34" s="86" t="str">
        <f>+'[4]PROYECCIÓN CIERRE 2022'!A34</f>
        <v>FRUVER</v>
      </c>
      <c r="B34" s="166">
        <f t="shared" si="17"/>
        <v>0.17464799796376354</v>
      </c>
      <c r="C34" s="177">
        <v>272865159</v>
      </c>
      <c r="D34" s="177">
        <f>ROUNDUP((C34*'[4]FACTORES 2024'!$E$5),0)</f>
        <v>52117660</v>
      </c>
      <c r="E34" s="168">
        <v>0.0019</v>
      </c>
      <c r="F34" s="177">
        <f t="shared" si="15"/>
        <v>518444</v>
      </c>
      <c r="G34" s="177">
        <f t="shared" si="18"/>
        <v>325501263</v>
      </c>
      <c r="H34" s="177">
        <f t="shared" si="16"/>
        <v>52636104</v>
      </c>
      <c r="I34" s="198"/>
      <c r="J34" s="200"/>
    </row>
    <row r="35" spans="1:10" ht="18">
      <c r="A35" s="86" t="str">
        <f>+'[4]PROYECCIÓN CIERRE 2022'!A35</f>
        <v>GRANDES SUPERFICIES</v>
      </c>
      <c r="B35" s="166">
        <f t="shared" si="17"/>
        <v>0.27396278216027103</v>
      </c>
      <c r="C35" s="177">
        <v>427902672</v>
      </c>
      <c r="D35" s="177">
        <f>ROUNDUP((C35*'[4]FACTORES 2024'!$E$5),0)</f>
        <v>81730060</v>
      </c>
      <c r="E35" s="166">
        <v>0.00226</v>
      </c>
      <c r="F35" s="177">
        <f t="shared" si="15"/>
        <v>967061</v>
      </c>
      <c r="G35" s="177">
        <f t="shared" si="18"/>
        <v>510599793</v>
      </c>
      <c r="H35" s="177">
        <f t="shared" si="16"/>
        <v>82697121</v>
      </c>
      <c r="I35" s="198"/>
      <c r="J35" s="200"/>
    </row>
    <row r="36" spans="1:10" ht="18">
      <c r="A36" s="86" t="str">
        <f>+'[4]PROYECCIÓN CIERRE 2022'!A36</f>
        <v>HORECA</v>
      </c>
      <c r="B36" s="166">
        <f t="shared" si="17"/>
        <v>0.023988441500169273</v>
      </c>
      <c r="C36" s="177">
        <v>24219027</v>
      </c>
      <c r="D36" s="177">
        <f>ROUNDUP((C36*'[4]FACTORES 2024'!$E$5),0)</f>
        <v>4625871</v>
      </c>
      <c r="E36" s="166">
        <v>0.65501</v>
      </c>
      <c r="F36" s="177">
        <f t="shared" si="15"/>
        <v>15863705</v>
      </c>
      <c r="G36" s="177">
        <f t="shared" si="18"/>
        <v>44708603</v>
      </c>
      <c r="H36" s="177">
        <f t="shared" si="16"/>
        <v>20489576</v>
      </c>
      <c r="I36" s="198"/>
      <c r="J36" s="200"/>
    </row>
    <row r="37" spans="1:10" ht="16.5">
      <c r="A37" s="86" t="str">
        <f>+'[4]PROYECCIÓN CIERRE 2022'!A37</f>
        <v>INDUSTRIA</v>
      </c>
      <c r="B37" s="166">
        <f t="shared" si="17"/>
        <v>0.003005649262409826</v>
      </c>
      <c r="C37" s="177">
        <v>4682318</v>
      </c>
      <c r="D37" s="177">
        <f>ROUNDUP((C37*'[4]FACTORES 2024'!$E$5),0)</f>
        <v>894330</v>
      </c>
      <c r="E37" s="166">
        <v>0.005371</v>
      </c>
      <c r="F37" s="177">
        <f t="shared" si="15"/>
        <v>25149</v>
      </c>
      <c r="G37" s="177">
        <f t="shared" si="18"/>
        <v>5601797</v>
      </c>
      <c r="H37" s="177">
        <f t="shared" si="16"/>
        <v>919479</v>
      </c>
      <c r="I37" s="200"/>
      <c r="J37" s="200"/>
    </row>
    <row r="38" spans="1:10" ht="18">
      <c r="A38" s="86" t="str">
        <f>+'[4]PROYECCIÓN CIERRE 2022'!A38</f>
        <v>SEMILLERISTA</v>
      </c>
      <c r="B38" s="166">
        <f t="shared" si="17"/>
        <v>0</v>
      </c>
      <c r="C38" s="177">
        <v>0</v>
      </c>
      <c r="D38" s="177">
        <f>ROUNDUP((C38*'[4]FACTORES 2024'!$E$5),0)</f>
        <v>0</v>
      </c>
      <c r="E38" s="166">
        <v>0</v>
      </c>
      <c r="F38" s="177">
        <f t="shared" si="15"/>
        <v>0</v>
      </c>
      <c r="G38" s="177">
        <f t="shared" si="18"/>
        <v>0</v>
      </c>
      <c r="H38" s="177">
        <f t="shared" si="16"/>
        <v>0</v>
      </c>
      <c r="I38" s="198"/>
      <c r="J38" s="200"/>
    </row>
    <row r="39" spans="1:10" s="199" customFormat="1" ht="18">
      <c r="A39" s="84" t="s">
        <v>3</v>
      </c>
      <c r="B39" s="167">
        <f>SUM(B32:B38)</f>
        <v>1</v>
      </c>
      <c r="C39" s="178">
        <f>SUM(C32:C38)</f>
        <v>1515410735</v>
      </c>
      <c r="D39" s="178">
        <f>SUM(D32:D38)</f>
        <v>289445752</v>
      </c>
      <c r="E39" s="167">
        <f>+F39/C39</f>
        <v>0.038867062664697305</v>
      </c>
      <c r="F39" s="178">
        <f>SUM(F32:F38)</f>
        <v>58899564</v>
      </c>
      <c r="G39" s="176">
        <f>SUM(G32:G38)</f>
        <v>1863756051</v>
      </c>
      <c r="H39" s="178">
        <f t="shared" si="16"/>
        <v>348345316</v>
      </c>
      <c r="I39" s="198"/>
      <c r="J39" s="200"/>
    </row>
    <row r="40" spans="7:10" ht="18">
      <c r="G40" s="205"/>
      <c r="I40" s="198"/>
      <c r="J40" s="200"/>
    </row>
    <row r="41" spans="1:10" s="199" customFormat="1" ht="52.5" customHeight="1">
      <c r="A41" s="84" t="s">
        <v>68</v>
      </c>
      <c r="B41" s="175" t="str">
        <f>+B31</f>
        <v>% PARTICIPACIÓN POR CANAL</v>
      </c>
      <c r="C41" s="176" t="str">
        <f aca="true" t="shared" si="19" ref="C41:H41">+C31</f>
        <v>PROYECTADO 2023</v>
      </c>
      <c r="D41" s="175" t="str">
        <f t="shared" si="19"/>
        <v>FACTOR PRECIO</v>
      </c>
      <c r="E41" s="176" t="str">
        <f t="shared" si="19"/>
        <v>% GESTIÓN 2024</v>
      </c>
      <c r="F41" s="176" t="str">
        <f t="shared" si="19"/>
        <v>FACTOR GESTIÓN</v>
      </c>
      <c r="G41" s="167" t="str">
        <f t="shared" si="19"/>
        <v>META 2024</v>
      </c>
      <c r="H41" s="176" t="str">
        <f t="shared" si="19"/>
        <v>DIFERENCIA</v>
      </c>
      <c r="I41" s="198"/>
      <c r="J41" s="200"/>
    </row>
    <row r="42" spans="1:10" ht="18">
      <c r="A42" s="86" t="str">
        <f>+'[4]PROYECCIÓN CIERRE 2022'!A42</f>
        <v>CENTRAL DE ABASTOS</v>
      </c>
      <c r="B42" s="166">
        <f>+G42/$G$49</f>
        <v>0.44982771718484915</v>
      </c>
      <c r="C42" s="177">
        <v>681634931</v>
      </c>
      <c r="D42" s="177">
        <f>ROUNDUP((C42*'[4]FACTORES 2024'!$E$5),0)</f>
        <v>130193307</v>
      </c>
      <c r="E42" s="168">
        <v>0.0008</v>
      </c>
      <c r="F42" s="177">
        <f aca="true" t="shared" si="20" ref="F42:F48">ROUNDUP((C42*E42),0)</f>
        <v>545308</v>
      </c>
      <c r="G42" s="177">
        <f>+C42+D42+F42</f>
        <v>812373546</v>
      </c>
      <c r="H42" s="177">
        <f aca="true" t="shared" si="21" ref="H42:H49">+G42-C42</f>
        <v>130738615</v>
      </c>
      <c r="I42" s="198"/>
      <c r="J42" s="200"/>
    </row>
    <row r="43" spans="1:10" ht="18">
      <c r="A43" s="86" t="str">
        <f>+'[4]PROYECCIÓN CIERRE 2022'!A43</f>
        <v>COMERCIALIZADOR</v>
      </c>
      <c r="B43" s="166">
        <f aca="true" t="shared" si="22" ref="B43:B48">+G43/$G$49</f>
        <v>0.10730314971462347</v>
      </c>
      <c r="C43" s="177">
        <v>160074006</v>
      </c>
      <c r="D43" s="177">
        <f>ROUNDUP((C43*'[4]FACTORES 2024'!$E$5),0)</f>
        <v>30574379</v>
      </c>
      <c r="E43" s="168">
        <v>0.0196</v>
      </c>
      <c r="F43" s="177">
        <f t="shared" si="20"/>
        <v>3137451</v>
      </c>
      <c r="G43" s="177">
        <f aca="true" t="shared" si="23" ref="G43:G48">+C43+D43+F43</f>
        <v>193785836</v>
      </c>
      <c r="H43" s="177">
        <f t="shared" si="21"/>
        <v>33711830</v>
      </c>
      <c r="I43" s="198"/>
      <c r="J43" s="200"/>
    </row>
    <row r="44" spans="1:10" ht="18">
      <c r="A44" s="86" t="str">
        <f>+'[4]PROYECCIÓN CIERRE 2022'!A44</f>
        <v>FRUVER</v>
      </c>
      <c r="B44" s="166">
        <f t="shared" si="22"/>
        <v>0.11584289039883909</v>
      </c>
      <c r="C44" s="177">
        <v>167876794</v>
      </c>
      <c r="D44" s="177">
        <f>ROUNDUP((C44*'[4]FACTORES 2024'!$E$5),0)</f>
        <v>32064723</v>
      </c>
      <c r="E44" s="166">
        <v>0.0552</v>
      </c>
      <c r="F44" s="177">
        <f t="shared" si="20"/>
        <v>9266800</v>
      </c>
      <c r="G44" s="177">
        <f t="shared" si="23"/>
        <v>209208317</v>
      </c>
      <c r="H44" s="177">
        <f t="shared" si="21"/>
        <v>41331523</v>
      </c>
      <c r="I44" s="198"/>
      <c r="J44" s="200"/>
    </row>
    <row r="45" spans="1:10" ht="18">
      <c r="A45" s="86" t="str">
        <f>+'[4]PROYECCIÓN CIERRE 2022'!A45</f>
        <v>GRANDES SUPERFICIES</v>
      </c>
      <c r="B45" s="166">
        <f t="shared" si="22"/>
        <v>0.020895306331360414</v>
      </c>
      <c r="C45" s="177">
        <v>31215290</v>
      </c>
      <c r="D45" s="177">
        <f>ROUNDUP((C45*'[4]FACTORES 2024'!$E$5),0)</f>
        <v>5962168</v>
      </c>
      <c r="E45" s="166">
        <v>0.0179</v>
      </c>
      <c r="F45" s="177">
        <f t="shared" si="20"/>
        <v>558754</v>
      </c>
      <c r="G45" s="177">
        <f t="shared" si="23"/>
        <v>37736212</v>
      </c>
      <c r="H45" s="177">
        <f t="shared" si="21"/>
        <v>6520922</v>
      </c>
      <c r="I45" s="198"/>
      <c r="J45" s="200"/>
    </row>
    <row r="46" spans="1:10" ht="18">
      <c r="A46" s="86" t="str">
        <f>+'[4]PROYECCIÓN CIERRE 2022'!A46</f>
        <v>HORECA</v>
      </c>
      <c r="B46" s="166">
        <f t="shared" si="22"/>
        <v>0.030767095376739998</v>
      </c>
      <c r="C46" s="177">
        <v>44228496</v>
      </c>
      <c r="D46" s="177">
        <f>ROUNDUP((C46*'[4]FACTORES 2024'!$E$5),0)</f>
        <v>8447710</v>
      </c>
      <c r="E46" s="166">
        <v>0.0653</v>
      </c>
      <c r="F46" s="177">
        <f t="shared" si="20"/>
        <v>2888121</v>
      </c>
      <c r="G46" s="177">
        <f t="shared" si="23"/>
        <v>55564327</v>
      </c>
      <c r="H46" s="177">
        <f t="shared" si="21"/>
        <v>11335831</v>
      </c>
      <c r="I46" s="198"/>
      <c r="J46" s="200"/>
    </row>
    <row r="47" spans="1:10" ht="18">
      <c r="A47" s="86" t="str">
        <f>+'[4]PROYECCIÓN CIERRE 2022'!A47</f>
        <v>INDUSTRIA</v>
      </c>
      <c r="B47" s="166">
        <f t="shared" si="22"/>
        <v>0.2753638409935879</v>
      </c>
      <c r="C47" s="177">
        <v>417090573</v>
      </c>
      <c r="D47" s="177">
        <f>ROUNDUP((C47*'[4]FACTORES 2024'!$E$5),0)</f>
        <v>79664933</v>
      </c>
      <c r="E47" s="166">
        <v>0.0013</v>
      </c>
      <c r="F47" s="177">
        <f t="shared" si="20"/>
        <v>542218</v>
      </c>
      <c r="G47" s="177">
        <f t="shared" si="23"/>
        <v>497297724</v>
      </c>
      <c r="H47" s="177">
        <f t="shared" si="21"/>
        <v>80207151</v>
      </c>
      <c r="I47" s="198"/>
      <c r="J47" s="200"/>
    </row>
    <row r="48" spans="1:10" ht="18">
      <c r="A48" s="86" t="str">
        <f>+'[4]PROYECCIÓN CIERRE 2022'!A48</f>
        <v>SEMILLERISTA</v>
      </c>
      <c r="B48" s="166">
        <f t="shared" si="22"/>
        <v>0</v>
      </c>
      <c r="C48" s="177">
        <v>0</v>
      </c>
      <c r="D48" s="177">
        <f>ROUNDUP((C48*'[4]FACTORES 2024'!$E$5),0)</f>
        <v>0</v>
      </c>
      <c r="E48" s="166">
        <v>0</v>
      </c>
      <c r="F48" s="177">
        <f t="shared" si="20"/>
        <v>0</v>
      </c>
      <c r="G48" s="177">
        <f t="shared" si="23"/>
        <v>0</v>
      </c>
      <c r="H48" s="177">
        <f t="shared" si="21"/>
        <v>0</v>
      </c>
      <c r="I48" s="198"/>
      <c r="J48" s="200"/>
    </row>
    <row r="49" spans="1:10" s="199" customFormat="1" ht="18">
      <c r="A49" s="84" t="s">
        <v>3</v>
      </c>
      <c r="B49" s="167">
        <f>SUM(B42:B48)</f>
        <v>1</v>
      </c>
      <c r="C49" s="178">
        <f>SUM(C42:C48)</f>
        <v>1502120090</v>
      </c>
      <c r="D49" s="178">
        <f>SUM(D42:D48)</f>
        <v>286907220</v>
      </c>
      <c r="E49" s="167">
        <f>+F49/C49</f>
        <v>0.011276496541631369</v>
      </c>
      <c r="F49" s="178">
        <f>SUM(F42:F48)</f>
        <v>16938652</v>
      </c>
      <c r="G49" s="176">
        <f>SUM(G42:G48)</f>
        <v>1805965962</v>
      </c>
      <c r="H49" s="178">
        <f t="shared" si="21"/>
        <v>303845872</v>
      </c>
      <c r="I49" s="198"/>
      <c r="J49" s="200"/>
    </row>
    <row r="50" spans="7:10" ht="18">
      <c r="G50" s="205"/>
      <c r="I50" s="198"/>
      <c r="J50" s="200"/>
    </row>
    <row r="51" spans="1:10" s="199" customFormat="1" ht="42.75" customHeight="1">
      <c r="A51" s="84" t="s">
        <v>69</v>
      </c>
      <c r="B51" s="175" t="str">
        <f>+B41</f>
        <v>% PARTICIPACIÓN POR CANAL</v>
      </c>
      <c r="C51" s="176" t="str">
        <f aca="true" t="shared" si="24" ref="C51:H51">+C41</f>
        <v>PROYECTADO 2023</v>
      </c>
      <c r="D51" s="175" t="str">
        <f t="shared" si="24"/>
        <v>FACTOR PRECIO</v>
      </c>
      <c r="E51" s="176" t="str">
        <f t="shared" si="24"/>
        <v>% GESTIÓN 2024</v>
      </c>
      <c r="F51" s="176" t="str">
        <f t="shared" si="24"/>
        <v>FACTOR GESTIÓN</v>
      </c>
      <c r="G51" s="167" t="str">
        <f t="shared" si="24"/>
        <v>META 2024</v>
      </c>
      <c r="H51" s="176" t="str">
        <f t="shared" si="24"/>
        <v>DIFERENCIA</v>
      </c>
      <c r="I51" s="198"/>
      <c r="J51" s="200"/>
    </row>
    <row r="52" spans="1:10" ht="18">
      <c r="A52" s="86" t="str">
        <f>+'[4]PROYECCIÓN CIERRE 2022'!A52</f>
        <v>CENTRAL DE ABASTOS</v>
      </c>
      <c r="B52" s="166">
        <f>+G52/$G$59</f>
        <v>0</v>
      </c>
      <c r="C52" s="177">
        <v>0</v>
      </c>
      <c r="D52" s="177">
        <f>ROUNDUP((C52*'[4]FACTORES 2024'!$E$5),0)</f>
        <v>0</v>
      </c>
      <c r="E52" s="166">
        <v>0</v>
      </c>
      <c r="F52" s="177">
        <f aca="true" t="shared" si="25" ref="F52:F58">ROUNDUP((C52*E52),0)</f>
        <v>0</v>
      </c>
      <c r="G52" s="177">
        <f>+C52+D52+F52</f>
        <v>0</v>
      </c>
      <c r="H52" s="177">
        <f aca="true" t="shared" si="26" ref="H52:H59">+G52-C52</f>
        <v>0</v>
      </c>
      <c r="I52" s="198"/>
      <c r="J52" s="200"/>
    </row>
    <row r="53" spans="1:10" ht="18">
      <c r="A53" s="86" t="str">
        <f>+'[4]PROYECCIÓN CIERRE 2022'!A53</f>
        <v>COMERCIALIZADOR</v>
      </c>
      <c r="B53" s="166">
        <f aca="true" t="shared" si="27" ref="B53:B58">+G53/$G$59</f>
        <v>0.2568271613069797</v>
      </c>
      <c r="C53" s="177">
        <v>96422874</v>
      </c>
      <c r="D53" s="177">
        <f>ROUNDUP((C53*'[4]FACTORES 2024'!$E$5),0)</f>
        <v>18416916</v>
      </c>
      <c r="E53" s="166">
        <v>0.96219</v>
      </c>
      <c r="F53" s="177">
        <f t="shared" si="25"/>
        <v>92777126</v>
      </c>
      <c r="G53" s="177">
        <f aca="true" t="shared" si="28" ref="G53:G58">+C53+D53+F53</f>
        <v>207616916</v>
      </c>
      <c r="H53" s="177">
        <f t="shared" si="26"/>
        <v>111194042</v>
      </c>
      <c r="I53" s="198"/>
      <c r="J53" s="200"/>
    </row>
    <row r="54" spans="1:10" ht="18">
      <c r="A54" s="86" t="str">
        <f>+'[4]PROYECCIÓN CIERRE 2022'!A54</f>
        <v>FRUVER</v>
      </c>
      <c r="B54" s="166">
        <f t="shared" si="27"/>
        <v>0.24378687959746637</v>
      </c>
      <c r="C54" s="177">
        <v>151771298</v>
      </c>
      <c r="D54" s="177">
        <f>ROUNDUP((C54*'[4]FACTORES 2024'!$E$5),0)</f>
        <v>28988549</v>
      </c>
      <c r="E54" s="166">
        <v>0.1075</v>
      </c>
      <c r="F54" s="177">
        <f t="shared" si="25"/>
        <v>16315415</v>
      </c>
      <c r="G54" s="177">
        <f t="shared" si="28"/>
        <v>197075262</v>
      </c>
      <c r="H54" s="177">
        <f t="shared" si="26"/>
        <v>45303964</v>
      </c>
      <c r="I54" s="198"/>
      <c r="J54" s="200"/>
    </row>
    <row r="55" spans="1:10" ht="18">
      <c r="A55" s="86" t="str">
        <f>+'[4]PROYECCIÓN CIERRE 2022'!A55</f>
        <v>GRANDES SUPERFICIES</v>
      </c>
      <c r="B55" s="166">
        <f t="shared" si="27"/>
        <v>0</v>
      </c>
      <c r="C55" s="177">
        <v>0</v>
      </c>
      <c r="D55" s="177">
        <f>ROUNDUP((C55*'[4]FACTORES 2024'!$E$5),0)</f>
        <v>0</v>
      </c>
      <c r="E55" s="166">
        <v>0</v>
      </c>
      <c r="F55" s="177">
        <f t="shared" si="25"/>
        <v>0</v>
      </c>
      <c r="G55" s="177">
        <f t="shared" si="28"/>
        <v>0</v>
      </c>
      <c r="H55" s="177">
        <f t="shared" si="26"/>
        <v>0</v>
      </c>
      <c r="I55" s="198"/>
      <c r="J55" s="200"/>
    </row>
    <row r="56" spans="1:10" ht="18">
      <c r="A56" s="86" t="str">
        <f>+'[4]PROYECCIÓN CIERRE 2022'!A56</f>
        <v>HORECA</v>
      </c>
      <c r="B56" s="166">
        <f t="shared" si="27"/>
        <v>0.08464450307210954</v>
      </c>
      <c r="C56" s="177">
        <v>57404208</v>
      </c>
      <c r="D56" s="177">
        <f>ROUNDUP((C56*'[4]FACTORES 2024'!$E$5),0)</f>
        <v>10964291</v>
      </c>
      <c r="E56" s="166">
        <v>0.001</v>
      </c>
      <c r="F56" s="177">
        <f t="shared" si="25"/>
        <v>57405</v>
      </c>
      <c r="G56" s="177">
        <f t="shared" si="28"/>
        <v>68425904</v>
      </c>
      <c r="H56" s="177">
        <f t="shared" si="26"/>
        <v>11021696</v>
      </c>
      <c r="I56" s="198"/>
      <c r="J56" s="200"/>
    </row>
    <row r="57" spans="1:10" ht="16.5">
      <c r="A57" s="86" t="str">
        <f>+'[4]PROYECCIÓN CIERRE 2022'!A57</f>
        <v>INDUSTRIA</v>
      </c>
      <c r="B57" s="166">
        <f t="shared" si="27"/>
        <v>0.4133415169085413</v>
      </c>
      <c r="C57" s="177">
        <v>275899087</v>
      </c>
      <c r="D57" s="177">
        <f>ROUNDUP((C57*'[4]FACTORES 2024'!$E$5),0)</f>
        <v>52697145</v>
      </c>
      <c r="E57" s="168">
        <v>0.0201</v>
      </c>
      <c r="F57" s="177">
        <f t="shared" si="25"/>
        <v>5545572</v>
      </c>
      <c r="G57" s="177">
        <f t="shared" si="28"/>
        <v>334141804</v>
      </c>
      <c r="H57" s="177">
        <f t="shared" si="26"/>
        <v>58242717</v>
      </c>
      <c r="I57" s="200"/>
      <c r="J57" s="200"/>
    </row>
    <row r="58" spans="1:10" ht="18">
      <c r="A58" s="86" t="str">
        <f>+'[4]PROYECCIÓN CIERRE 2022'!A58</f>
        <v>SEMILLERISTA</v>
      </c>
      <c r="B58" s="166">
        <f t="shared" si="27"/>
        <v>0.0013999391149030825</v>
      </c>
      <c r="C58" s="177">
        <v>875723</v>
      </c>
      <c r="D58" s="177">
        <f>ROUNDUP((C58*'[4]FACTORES 2024'!$E$5),0)</f>
        <v>167265</v>
      </c>
      <c r="E58" s="166">
        <v>0.1013</v>
      </c>
      <c r="F58" s="177">
        <f t="shared" si="25"/>
        <v>88711</v>
      </c>
      <c r="G58" s="177">
        <f t="shared" si="28"/>
        <v>1131699</v>
      </c>
      <c r="H58" s="177">
        <f t="shared" si="26"/>
        <v>255976</v>
      </c>
      <c r="I58" s="198"/>
      <c r="J58" s="200"/>
    </row>
    <row r="59" spans="1:10" s="199" customFormat="1" ht="18">
      <c r="A59" s="84" t="s">
        <v>3</v>
      </c>
      <c r="B59" s="167">
        <f>SUM(B52:B58)</f>
        <v>1</v>
      </c>
      <c r="C59" s="178">
        <f>SUM(C52:C58)</f>
        <v>582373190</v>
      </c>
      <c r="D59" s="178">
        <f>SUM(D52:D58)</f>
        <v>111234166</v>
      </c>
      <c r="E59" s="167">
        <f>+F59/C59</f>
        <v>0.19709737840095284</v>
      </c>
      <c r="F59" s="178">
        <f>SUM(F52:F58)</f>
        <v>114784229</v>
      </c>
      <c r="G59" s="176">
        <f>SUM(G52:G58)</f>
        <v>808391585</v>
      </c>
      <c r="H59" s="178">
        <f t="shared" si="26"/>
        <v>226018395</v>
      </c>
      <c r="I59" s="198"/>
      <c r="J59" s="200"/>
    </row>
    <row r="60" spans="7:10" ht="18">
      <c r="G60" s="205"/>
      <c r="I60" s="198"/>
      <c r="J60" s="200"/>
    </row>
    <row r="61" spans="1:10" s="199" customFormat="1" ht="42.75" customHeight="1">
      <c r="A61" s="84" t="s">
        <v>79</v>
      </c>
      <c r="B61" s="175" t="str">
        <f>+B51</f>
        <v>% PARTICIPACIÓN POR CANAL</v>
      </c>
      <c r="C61" s="176" t="str">
        <f aca="true" t="shared" si="29" ref="C61:H61">+C51</f>
        <v>PROYECTADO 2023</v>
      </c>
      <c r="D61" s="175" t="str">
        <f t="shared" si="29"/>
        <v>FACTOR PRECIO</v>
      </c>
      <c r="E61" s="176" t="str">
        <f t="shared" si="29"/>
        <v>% GESTIÓN 2024</v>
      </c>
      <c r="F61" s="176" t="str">
        <f t="shared" si="29"/>
        <v>FACTOR GESTIÓN</v>
      </c>
      <c r="G61" s="167" t="str">
        <f t="shared" si="29"/>
        <v>META 2024</v>
      </c>
      <c r="H61" s="176" t="str">
        <f t="shared" si="29"/>
        <v>DIFERENCIA</v>
      </c>
      <c r="I61" s="198"/>
      <c r="J61" s="200"/>
    </row>
    <row r="62" spans="1:10" ht="18">
      <c r="A62" s="86" t="str">
        <f>+'[4]PROYECCIÓN CIERRE 2022'!A62</f>
        <v>CENTRAL DE ABASTOS</v>
      </c>
      <c r="B62" s="166">
        <f>+G62/$G$69</f>
        <v>0.27545746745646843</v>
      </c>
      <c r="C62" s="177">
        <v>29118523</v>
      </c>
      <c r="D62" s="177">
        <f>ROUNDUP((C62*'[4]FACTORES 2024'!$E$5),0)</f>
        <v>5561683</v>
      </c>
      <c r="E62" s="168">
        <v>1.16183</v>
      </c>
      <c r="F62" s="177">
        <f aca="true" t="shared" si="30" ref="F62:F68">ROUNDUP((C62*E62),0)</f>
        <v>33830774</v>
      </c>
      <c r="G62" s="177">
        <f>+C62+D62+F62</f>
        <v>68510980</v>
      </c>
      <c r="H62" s="177">
        <f aca="true" t="shared" si="31" ref="H62:H69">+G62-C62</f>
        <v>39392457</v>
      </c>
      <c r="I62" s="198"/>
      <c r="J62" s="200"/>
    </row>
    <row r="63" spans="1:10" ht="18">
      <c r="A63" s="86" t="str">
        <f>+'[4]PROYECCIÓN CIERRE 2022'!A63</f>
        <v>COMERCIALIZADOR</v>
      </c>
      <c r="B63" s="166">
        <f aca="true" t="shared" si="32" ref="B63:B68">+G63/$G$69</f>
        <v>0.019230387348008988</v>
      </c>
      <c r="C63" s="177">
        <v>647426</v>
      </c>
      <c r="D63" s="177">
        <f>ROUNDUP((C63*'[4]FACTORES 2024'!$E$5),0)</f>
        <v>123660</v>
      </c>
      <c r="E63" s="166">
        <v>6.1966</v>
      </c>
      <c r="F63" s="177">
        <f t="shared" si="30"/>
        <v>4011840</v>
      </c>
      <c r="G63" s="177">
        <f aca="true" t="shared" si="33" ref="G63:G68">+C63+D63+F63</f>
        <v>4782926</v>
      </c>
      <c r="H63" s="177">
        <f t="shared" si="31"/>
        <v>4135500</v>
      </c>
      <c r="I63" s="198"/>
      <c r="J63" s="200"/>
    </row>
    <row r="64" spans="1:10" ht="18">
      <c r="A64" s="86" t="str">
        <f>+'[4]PROYECCIÓN CIERRE 2022'!A64</f>
        <v>FRUVER</v>
      </c>
      <c r="B64" s="166">
        <f t="shared" si="32"/>
        <v>0.32864001292134765</v>
      </c>
      <c r="C64" s="177">
        <v>64928341</v>
      </c>
      <c r="D64" s="177">
        <f>ROUNDUP((C64*'[4]FACTORES 2024'!$E$5),0)</f>
        <v>12401412</v>
      </c>
      <c r="E64" s="166">
        <v>0.0679</v>
      </c>
      <c r="F64" s="177">
        <f t="shared" si="30"/>
        <v>4408635</v>
      </c>
      <c r="G64" s="177">
        <f t="shared" si="33"/>
        <v>81738388</v>
      </c>
      <c r="H64" s="177">
        <f t="shared" si="31"/>
        <v>16810047</v>
      </c>
      <c r="I64" s="198"/>
      <c r="J64" s="200"/>
    </row>
    <row r="65" spans="1:10" ht="18">
      <c r="A65" s="86" t="str">
        <f>+'[4]PROYECCIÓN CIERRE 2022'!A65</f>
        <v>GRANDES SUPERFICIES</v>
      </c>
      <c r="B65" s="166">
        <f t="shared" si="32"/>
        <v>0</v>
      </c>
      <c r="C65" s="177">
        <v>0</v>
      </c>
      <c r="D65" s="177">
        <f>ROUNDUP((C65*'[4]FACTORES 2024'!$E$5),0)</f>
        <v>0</v>
      </c>
      <c r="E65" s="166">
        <v>0</v>
      </c>
      <c r="F65" s="177">
        <f t="shared" si="30"/>
        <v>0</v>
      </c>
      <c r="G65" s="177">
        <f t="shared" si="33"/>
        <v>0</v>
      </c>
      <c r="H65" s="177">
        <f t="shared" si="31"/>
        <v>0</v>
      </c>
      <c r="I65" s="198"/>
      <c r="J65" s="200"/>
    </row>
    <row r="66" spans="1:10" ht="18">
      <c r="A66" s="86" t="str">
        <f>+'[4]PROYECCIÓN CIERRE 2022'!A66</f>
        <v>HORECA</v>
      </c>
      <c r="B66" s="166">
        <f t="shared" si="32"/>
        <v>0.1137085790376987</v>
      </c>
      <c r="C66" s="177">
        <v>21836092</v>
      </c>
      <c r="D66" s="177">
        <f>ROUNDUP((C66*'[4]FACTORES 2024'!$E$5),0)</f>
        <v>4170727</v>
      </c>
      <c r="E66" s="166">
        <v>0.10416</v>
      </c>
      <c r="F66" s="177">
        <f t="shared" si="30"/>
        <v>2274448</v>
      </c>
      <c r="G66" s="177">
        <f t="shared" si="33"/>
        <v>28281267</v>
      </c>
      <c r="H66" s="177">
        <f t="shared" si="31"/>
        <v>6445175</v>
      </c>
      <c r="I66" s="198"/>
      <c r="J66" s="200"/>
    </row>
    <row r="67" spans="1:10" ht="16.5">
      <c r="A67" s="86" t="str">
        <f>+'[4]PROYECCIÓN CIERRE 2022'!A67</f>
        <v>INDUSTRIA</v>
      </c>
      <c r="B67" s="166">
        <f t="shared" si="32"/>
        <v>0.26296355323647624</v>
      </c>
      <c r="C67" s="177">
        <v>52953027</v>
      </c>
      <c r="D67" s="177">
        <f>ROUNDUP((C67*'[4]FACTORES 2024'!$E$5),0)</f>
        <v>10114109</v>
      </c>
      <c r="E67" s="166">
        <v>0.044122</v>
      </c>
      <c r="F67" s="177">
        <f t="shared" si="30"/>
        <v>2336394</v>
      </c>
      <c r="G67" s="177">
        <f t="shared" si="33"/>
        <v>65403530</v>
      </c>
      <c r="H67" s="177">
        <f t="shared" si="31"/>
        <v>12450503</v>
      </c>
      <c r="I67" s="200"/>
      <c r="J67" s="200"/>
    </row>
    <row r="68" spans="1:10" ht="18">
      <c r="A68" s="86" t="str">
        <f>+'[4]PROYECCIÓN CIERRE 2022'!A68</f>
        <v>SEMILLERISTA</v>
      </c>
      <c r="B68" s="166">
        <f t="shared" si="32"/>
        <v>0</v>
      </c>
      <c r="C68" s="177">
        <v>0</v>
      </c>
      <c r="D68" s="177">
        <f>ROUNDUP((C68*'[4]FACTORES 2024'!$E$5),0)</f>
        <v>0</v>
      </c>
      <c r="E68" s="166">
        <v>0</v>
      </c>
      <c r="F68" s="177">
        <f t="shared" si="30"/>
        <v>0</v>
      </c>
      <c r="G68" s="177">
        <f t="shared" si="33"/>
        <v>0</v>
      </c>
      <c r="H68" s="177">
        <f t="shared" si="31"/>
        <v>0</v>
      </c>
      <c r="I68" s="198"/>
      <c r="J68" s="200"/>
    </row>
    <row r="69" spans="1:10" s="199" customFormat="1" ht="18">
      <c r="A69" s="84" t="s">
        <v>3</v>
      </c>
      <c r="B69" s="167">
        <f>SUM(B62:B68)</f>
        <v>1</v>
      </c>
      <c r="C69" s="178">
        <f>SUM(C62:C68)</f>
        <v>169483409</v>
      </c>
      <c r="D69" s="178">
        <f>SUM(D62:D68)</f>
        <v>32371591</v>
      </c>
      <c r="E69" s="167">
        <f>+F69/C69</f>
        <v>0.27649957760762295</v>
      </c>
      <c r="F69" s="178">
        <f>SUM(F62:F68)</f>
        <v>46862091</v>
      </c>
      <c r="G69" s="176">
        <f>SUM(G62:G68)</f>
        <v>248717091</v>
      </c>
      <c r="H69" s="178">
        <f t="shared" si="31"/>
        <v>79233682</v>
      </c>
      <c r="I69" s="198"/>
      <c r="J69" s="200"/>
    </row>
    <row r="70" spans="7:10" ht="18">
      <c r="G70" s="205"/>
      <c r="I70" s="198"/>
      <c r="J70" s="200"/>
    </row>
    <row r="71" spans="1:10" s="199" customFormat="1" ht="57.75" customHeight="1">
      <c r="A71" s="84" t="s">
        <v>80</v>
      </c>
      <c r="B71" s="175" t="str">
        <f>+B61</f>
        <v>% PARTICIPACIÓN POR CANAL</v>
      </c>
      <c r="C71" s="176" t="str">
        <f aca="true" t="shared" si="34" ref="C71:H71">+C61</f>
        <v>PROYECTADO 2023</v>
      </c>
      <c r="D71" s="175" t="str">
        <f t="shared" si="34"/>
        <v>FACTOR PRECIO</v>
      </c>
      <c r="E71" s="176" t="str">
        <f t="shared" si="34"/>
        <v>% GESTIÓN 2024</v>
      </c>
      <c r="F71" s="176" t="str">
        <f t="shared" si="34"/>
        <v>FACTOR GESTIÓN</v>
      </c>
      <c r="G71" s="167" t="str">
        <f t="shared" si="34"/>
        <v>META 2024</v>
      </c>
      <c r="H71" s="176" t="str">
        <f t="shared" si="34"/>
        <v>DIFERENCIA</v>
      </c>
      <c r="I71" s="198"/>
      <c r="J71" s="200"/>
    </row>
    <row r="72" spans="1:10" ht="18">
      <c r="A72" s="86" t="str">
        <f>+'[4]PROYECCIÓN CIERRE 2022'!A72</f>
        <v>CENTRAL DE ABASTOS</v>
      </c>
      <c r="B72" s="166">
        <f>+G72/$G$79</f>
        <v>0.03696797548713434</v>
      </c>
      <c r="C72" s="177">
        <v>3341408</v>
      </c>
      <c r="D72" s="177">
        <f>ROUNDUP((C72*'[4]FACTORES 2024'!$E$5),0)</f>
        <v>638214</v>
      </c>
      <c r="E72" s="166">
        <v>0.2623</v>
      </c>
      <c r="F72" s="177">
        <f aca="true" t="shared" si="35" ref="F72:F78">ROUNDUP((C72*E72),0)</f>
        <v>876452</v>
      </c>
      <c r="G72" s="177">
        <f>+C72+D72+F72</f>
        <v>4856074</v>
      </c>
      <c r="H72" s="177">
        <f aca="true" t="shared" si="36" ref="H72:H79">+G72-C72</f>
        <v>1514666</v>
      </c>
      <c r="I72" s="198"/>
      <c r="J72" s="200"/>
    </row>
    <row r="73" spans="1:10" ht="18">
      <c r="A73" s="86" t="str">
        <f>+'[4]PROYECCIÓN CIERRE 2022'!A73</f>
        <v>COMERCIALIZADOR</v>
      </c>
      <c r="B73" s="166">
        <f aca="true" t="shared" si="37" ref="B73:B78">+G73/$G$79</f>
        <v>0.15498080534116376</v>
      </c>
      <c r="C73" s="177">
        <v>15833014</v>
      </c>
      <c r="D73" s="177">
        <f>ROUNDUP((C73*'[4]FACTORES 2024'!$E$5),0)</f>
        <v>3024130</v>
      </c>
      <c r="E73" s="166">
        <v>0.0948</v>
      </c>
      <c r="F73" s="177">
        <f t="shared" si="35"/>
        <v>1500970</v>
      </c>
      <c r="G73" s="177">
        <f aca="true" t="shared" si="38" ref="G73:G78">+C73+D73+F73</f>
        <v>20358114</v>
      </c>
      <c r="H73" s="177">
        <f t="shared" si="36"/>
        <v>4525100</v>
      </c>
      <c r="I73" s="198"/>
      <c r="J73" s="200"/>
    </row>
    <row r="74" spans="1:10" ht="18">
      <c r="A74" s="86" t="str">
        <f>+'[4]PROYECCIÓN CIERRE 2022'!A74</f>
        <v>FRUVER</v>
      </c>
      <c r="B74" s="166">
        <f t="shared" si="37"/>
        <v>0.4138393993410635</v>
      </c>
      <c r="C74" s="177">
        <v>40641030</v>
      </c>
      <c r="D74" s="177">
        <f>ROUNDUP((C74*'[4]FACTORES 2024'!$E$5),0)</f>
        <v>7762499</v>
      </c>
      <c r="E74" s="166">
        <v>0.1466</v>
      </c>
      <c r="F74" s="177">
        <f t="shared" si="35"/>
        <v>5957975</v>
      </c>
      <c r="G74" s="177">
        <f t="shared" si="38"/>
        <v>54361504</v>
      </c>
      <c r="H74" s="177">
        <f t="shared" si="36"/>
        <v>13720474</v>
      </c>
      <c r="I74" s="198"/>
      <c r="J74" s="200"/>
    </row>
    <row r="75" spans="1:10" ht="18">
      <c r="A75" s="86" t="str">
        <f>+'[4]PROYECCIÓN CIERRE 2022'!A75</f>
        <v>GRANDES SUPERFICIES</v>
      </c>
      <c r="B75" s="166">
        <f t="shared" si="37"/>
        <v>0</v>
      </c>
      <c r="C75" s="177">
        <v>0</v>
      </c>
      <c r="D75" s="177">
        <f>ROUNDUP((C75*'[4]FACTORES 2024'!$E$5),0)</f>
        <v>0</v>
      </c>
      <c r="E75" s="166">
        <v>0</v>
      </c>
      <c r="F75" s="177">
        <f t="shared" si="35"/>
        <v>0</v>
      </c>
      <c r="G75" s="177">
        <f t="shared" si="38"/>
        <v>0</v>
      </c>
      <c r="H75" s="177">
        <f t="shared" si="36"/>
        <v>0</v>
      </c>
      <c r="I75" s="198"/>
      <c r="J75" s="200"/>
    </row>
    <row r="76" spans="1:10" ht="18">
      <c r="A76" s="86" t="str">
        <f>+'[4]PROYECCIÓN CIERRE 2022'!A76</f>
        <v>HORECA</v>
      </c>
      <c r="B76" s="166">
        <f t="shared" si="37"/>
        <v>0.35064656963045787</v>
      </c>
      <c r="C76" s="177">
        <v>32937537</v>
      </c>
      <c r="D76" s="177">
        <f>ROUNDUP((C76*'[4]FACTORES 2024'!$E$5),0)</f>
        <v>6291120</v>
      </c>
      <c r="E76" s="166">
        <v>0.20742</v>
      </c>
      <c r="F76" s="177">
        <f t="shared" si="35"/>
        <v>6831904</v>
      </c>
      <c r="G76" s="177">
        <f t="shared" si="38"/>
        <v>46060561</v>
      </c>
      <c r="H76" s="177">
        <f t="shared" si="36"/>
        <v>13123024</v>
      </c>
      <c r="I76" s="198"/>
      <c r="J76" s="200"/>
    </row>
    <row r="77" spans="1:10" ht="16.5">
      <c r="A77" s="86" t="str">
        <f>+'[4]PROYECCIÓN CIERRE 2022'!A77</f>
        <v>INDUSTRIA</v>
      </c>
      <c r="B77" s="166">
        <f t="shared" si="37"/>
        <v>0.04224613174019418</v>
      </c>
      <c r="C77" s="177">
        <v>4639578</v>
      </c>
      <c r="D77" s="177">
        <f>ROUNDUP((C77*'[4]FACTORES 2024'!$E$5),0)</f>
        <v>886167</v>
      </c>
      <c r="E77" s="166">
        <v>0.0051</v>
      </c>
      <c r="F77" s="177">
        <f t="shared" si="35"/>
        <v>23662</v>
      </c>
      <c r="G77" s="177">
        <f t="shared" si="38"/>
        <v>5549407</v>
      </c>
      <c r="H77" s="177">
        <f t="shared" si="36"/>
        <v>909829</v>
      </c>
      <c r="I77" s="200"/>
      <c r="J77" s="200"/>
    </row>
    <row r="78" spans="1:10" ht="18">
      <c r="A78" s="86" t="str">
        <f>+'[4]PROYECCIÓN CIERRE 2022'!A78</f>
        <v>SEMILLERISTA</v>
      </c>
      <c r="B78" s="166">
        <f t="shared" si="37"/>
        <v>0.0013191184599863316</v>
      </c>
      <c r="C78" s="177">
        <v>118642</v>
      </c>
      <c r="D78" s="177">
        <f>ROUNDUP((C78*'[4]FACTORES 2024'!$E$5),0)</f>
        <v>22661</v>
      </c>
      <c r="E78" s="166">
        <v>0.2695</v>
      </c>
      <c r="F78" s="177">
        <f t="shared" si="35"/>
        <v>31975</v>
      </c>
      <c r="G78" s="177">
        <f t="shared" si="38"/>
        <v>173278</v>
      </c>
      <c r="H78" s="177">
        <f t="shared" si="36"/>
        <v>54636</v>
      </c>
      <c r="I78" s="198"/>
      <c r="J78" s="200"/>
    </row>
    <row r="79" spans="1:10" s="199" customFormat="1" ht="18">
      <c r="A79" s="84" t="s">
        <v>3</v>
      </c>
      <c r="B79" s="167">
        <f>SUM(B72:B78)</f>
        <v>1</v>
      </c>
      <c r="C79" s="178">
        <f>SUM(C72:C78)</f>
        <v>97511209</v>
      </c>
      <c r="D79" s="178">
        <f>SUM(D72:D78)</f>
        <v>18624791</v>
      </c>
      <c r="E79" s="167">
        <f>+F79/C79</f>
        <v>0.15611474984378462</v>
      </c>
      <c r="F79" s="178">
        <f>SUM(F72:F78)</f>
        <v>15222938</v>
      </c>
      <c r="G79" s="176">
        <f>SUM(G72:G78)</f>
        <v>131358938</v>
      </c>
      <c r="H79" s="178">
        <f t="shared" si="36"/>
        <v>33847729</v>
      </c>
      <c r="I79" s="198"/>
      <c r="J79" s="200"/>
    </row>
    <row r="80" spans="7:10" ht="18">
      <c r="G80" s="205"/>
      <c r="J80" s="200"/>
    </row>
    <row r="81" spans="1:10" s="199" customFormat="1" ht="52.5" customHeight="1">
      <c r="A81" s="84" t="s">
        <v>103</v>
      </c>
      <c r="B81" s="175" t="str">
        <f>+B71</f>
        <v>% PARTICIPACIÓN POR CANAL</v>
      </c>
      <c r="C81" s="176" t="str">
        <f aca="true" t="shared" si="39" ref="C81:H81">+C71</f>
        <v>PROYECTADO 2023</v>
      </c>
      <c r="D81" s="175" t="str">
        <f t="shared" si="39"/>
        <v>FACTOR PRECIO</v>
      </c>
      <c r="E81" s="176" t="str">
        <f t="shared" si="39"/>
        <v>% GESTIÓN 2024</v>
      </c>
      <c r="F81" s="176" t="str">
        <f t="shared" si="39"/>
        <v>FACTOR GESTIÓN</v>
      </c>
      <c r="G81" s="167" t="str">
        <f t="shared" si="39"/>
        <v>META 2024</v>
      </c>
      <c r="H81" s="176" t="str">
        <f t="shared" si="39"/>
        <v>DIFERENCIA</v>
      </c>
      <c r="I81" s="198"/>
      <c r="J81" s="200"/>
    </row>
    <row r="82" spans="1:10" ht="18">
      <c r="A82" s="86" t="str">
        <f>+'[4]PROYECCIÓN CIERRE 2022'!A82</f>
        <v>CENTRAL DE ABASTOS</v>
      </c>
      <c r="B82" s="166">
        <f>+G82/$G$89</f>
        <v>0.020447997638219723</v>
      </c>
      <c r="C82" s="177">
        <v>747522</v>
      </c>
      <c r="D82" s="177">
        <f>ROUNDUP((C82*'[4]FACTORES 2024'!$E$5),0)</f>
        <v>142778</v>
      </c>
      <c r="E82" s="166">
        <v>6.829</v>
      </c>
      <c r="F82" s="177">
        <f aca="true" t="shared" si="40" ref="F82:F88">ROUNDUP((C82*E82),0)</f>
        <v>5104828</v>
      </c>
      <c r="G82" s="177">
        <f>+C82+D82+F82</f>
        <v>5995128</v>
      </c>
      <c r="H82" s="177">
        <f aca="true" t="shared" si="41" ref="H82:H89">+G82-C82</f>
        <v>5247606</v>
      </c>
      <c r="I82" s="198"/>
      <c r="J82" s="200"/>
    </row>
    <row r="83" spans="1:10" ht="18">
      <c r="A83" s="86" t="str">
        <f>+'[4]PROYECCIÓN CIERRE 2022'!A83</f>
        <v>COMERCIALIZADOR</v>
      </c>
      <c r="B83" s="166">
        <f aca="true" t="shared" si="42" ref="B83:B88">+G83/$G$89</f>
        <v>0.06439939743851442</v>
      </c>
      <c r="C83" s="177">
        <v>11246829</v>
      </c>
      <c r="D83" s="177">
        <f>ROUNDUP((C83*'[4]FACTORES 2024'!$E$5),0)</f>
        <v>2148162</v>
      </c>
      <c r="E83" s="166">
        <v>0.4878</v>
      </c>
      <c r="F83" s="177">
        <f t="shared" si="40"/>
        <v>5486204</v>
      </c>
      <c r="G83" s="177">
        <f aca="true" t="shared" si="43" ref="G83:G88">+C83+D83+F83</f>
        <v>18881195</v>
      </c>
      <c r="H83" s="177">
        <f t="shared" si="41"/>
        <v>7634366</v>
      </c>
      <c r="I83" s="198"/>
      <c r="J83" s="200"/>
    </row>
    <row r="84" spans="1:10" ht="18">
      <c r="A84" s="86" t="str">
        <f>+'[4]PROYECCIÓN CIERRE 2022'!A84</f>
        <v>FRUVER</v>
      </c>
      <c r="B84" s="166">
        <f t="shared" si="42"/>
        <v>0.8561847038729805</v>
      </c>
      <c r="C84" s="177">
        <v>186246961</v>
      </c>
      <c r="D84" s="177">
        <f>ROUNDUP((C84*'[4]FACTORES 2024'!$E$5),0)</f>
        <v>35573453</v>
      </c>
      <c r="E84" s="166">
        <v>0.1568</v>
      </c>
      <c r="F84" s="177">
        <f t="shared" si="40"/>
        <v>29203524</v>
      </c>
      <c r="G84" s="177">
        <f t="shared" si="43"/>
        <v>251023938</v>
      </c>
      <c r="H84" s="177">
        <f t="shared" si="41"/>
        <v>64776977</v>
      </c>
      <c r="I84" s="198"/>
      <c r="J84" s="200"/>
    </row>
    <row r="85" spans="1:10" ht="18">
      <c r="A85" s="86" t="str">
        <f>+'[4]PROYECCIÓN CIERRE 2022'!A85</f>
        <v>GRANDES SUPERFICIES</v>
      </c>
      <c r="B85" s="166">
        <f t="shared" si="42"/>
        <v>0</v>
      </c>
      <c r="C85" s="177">
        <v>0</v>
      </c>
      <c r="D85" s="177">
        <f>ROUNDUP((C85*'[4]FACTORES 2024'!$E$5),0)</f>
        <v>0</v>
      </c>
      <c r="E85" s="166">
        <v>0</v>
      </c>
      <c r="F85" s="177">
        <f t="shared" si="40"/>
        <v>0</v>
      </c>
      <c r="G85" s="177">
        <f t="shared" si="43"/>
        <v>0</v>
      </c>
      <c r="H85" s="177">
        <f t="shared" si="41"/>
        <v>0</v>
      </c>
      <c r="I85" s="198"/>
      <c r="J85" s="200"/>
    </row>
    <row r="86" spans="1:10" ht="18">
      <c r="A86" s="86" t="str">
        <f>+'[4]PROYECCIÓN CIERRE 2022'!A86</f>
        <v>HORECA</v>
      </c>
      <c r="B86" s="166">
        <f t="shared" si="42"/>
        <v>0.05896790105028531</v>
      </c>
      <c r="C86" s="177">
        <v>14163882</v>
      </c>
      <c r="D86" s="177">
        <f>ROUNDUP((C86*'[4]FACTORES 2024'!$E$5),0)</f>
        <v>2705323</v>
      </c>
      <c r="E86" s="166">
        <v>0.02962</v>
      </c>
      <c r="F86" s="177">
        <f t="shared" si="40"/>
        <v>419535</v>
      </c>
      <c r="G86" s="177">
        <f t="shared" si="43"/>
        <v>17288740</v>
      </c>
      <c r="H86" s="177">
        <f t="shared" si="41"/>
        <v>3124858</v>
      </c>
      <c r="I86" s="198"/>
      <c r="J86" s="200"/>
    </row>
    <row r="87" spans="1:10" ht="18">
      <c r="A87" s="86" t="str">
        <f>+'[4]PROYECCIÓN CIERRE 2022'!A87</f>
        <v>INDUSTRIA</v>
      </c>
      <c r="B87" s="166">
        <f t="shared" si="42"/>
        <v>0</v>
      </c>
      <c r="C87" s="177">
        <v>0</v>
      </c>
      <c r="D87" s="177">
        <f>ROUNDUP((C87*'[4]FACTORES 2024'!$E$5),0)</f>
        <v>0</v>
      </c>
      <c r="E87" s="166">
        <v>0</v>
      </c>
      <c r="F87" s="177">
        <f t="shared" si="40"/>
        <v>0</v>
      </c>
      <c r="G87" s="177">
        <f t="shared" si="43"/>
        <v>0</v>
      </c>
      <c r="H87" s="177">
        <f t="shared" si="41"/>
        <v>0</v>
      </c>
      <c r="I87" s="198"/>
      <c r="J87" s="200"/>
    </row>
    <row r="88" spans="1:10" ht="18">
      <c r="A88" s="86" t="str">
        <f>+'[4]PROYECCIÓN CIERRE 2022'!A88</f>
        <v>SEMILLERISTA</v>
      </c>
      <c r="B88" s="166">
        <f t="shared" si="42"/>
        <v>0</v>
      </c>
      <c r="C88" s="177">
        <v>0</v>
      </c>
      <c r="D88" s="177">
        <f>ROUNDUP((C88*'[4]FACTORES 2024'!$E$5),0)</f>
        <v>0</v>
      </c>
      <c r="E88" s="166">
        <v>0</v>
      </c>
      <c r="F88" s="177">
        <f t="shared" si="40"/>
        <v>0</v>
      </c>
      <c r="G88" s="177">
        <f t="shared" si="43"/>
        <v>0</v>
      </c>
      <c r="H88" s="177">
        <f t="shared" si="41"/>
        <v>0</v>
      </c>
      <c r="I88" s="198"/>
      <c r="J88" s="200"/>
    </row>
    <row r="89" spans="1:10" s="199" customFormat="1" ht="18">
      <c r="A89" s="84" t="s">
        <v>3</v>
      </c>
      <c r="B89" s="167">
        <f>SUM(B82:B88)</f>
        <v>0.9999999999999999</v>
      </c>
      <c r="C89" s="178">
        <f>SUM(C82:C88)</f>
        <v>212405194</v>
      </c>
      <c r="D89" s="178">
        <f>SUM(D82:D88)</f>
        <v>40569716</v>
      </c>
      <c r="E89" s="167">
        <f>+F89/C89</f>
        <v>0.18932724874891713</v>
      </c>
      <c r="F89" s="178">
        <f>SUM(F82:F88)</f>
        <v>40214091</v>
      </c>
      <c r="G89" s="176">
        <f>SUM(G82:G88)</f>
        <v>293189001</v>
      </c>
      <c r="H89" s="178">
        <f t="shared" si="41"/>
        <v>80783807</v>
      </c>
      <c r="I89" s="198"/>
      <c r="J89" s="200"/>
    </row>
    <row r="90" spans="7:10" ht="18">
      <c r="G90" s="205"/>
      <c r="J90" s="200"/>
    </row>
    <row r="91" spans="1:10" s="199" customFormat="1" ht="31.5">
      <c r="A91" s="84" t="s">
        <v>104</v>
      </c>
      <c r="B91" s="175" t="str">
        <f>+B81</f>
        <v>% PARTICIPACIÓN POR CANAL</v>
      </c>
      <c r="C91" s="176" t="str">
        <f aca="true" t="shared" si="44" ref="C91:H91">+C81</f>
        <v>PROYECTADO 2023</v>
      </c>
      <c r="D91" s="175" t="str">
        <f t="shared" si="44"/>
        <v>FACTOR PRECIO</v>
      </c>
      <c r="E91" s="176" t="str">
        <f t="shared" si="44"/>
        <v>% GESTIÓN 2024</v>
      </c>
      <c r="F91" s="176" t="str">
        <f t="shared" si="44"/>
        <v>FACTOR GESTIÓN</v>
      </c>
      <c r="G91" s="167" t="str">
        <f t="shared" si="44"/>
        <v>META 2024</v>
      </c>
      <c r="H91" s="176" t="str">
        <f t="shared" si="44"/>
        <v>DIFERENCIA</v>
      </c>
      <c r="I91" s="198"/>
      <c r="J91" s="200"/>
    </row>
    <row r="92" spans="1:10" ht="18">
      <c r="A92" s="86" t="str">
        <f>+'[4]PROYECCIÓN CIERRE 2022'!A92</f>
        <v>CENTRAL DE ABASTOS</v>
      </c>
      <c r="B92" s="166">
        <f>+G92/$G$99</f>
        <v>0.017175159936178883</v>
      </c>
      <c r="C92" s="177">
        <v>11857</v>
      </c>
      <c r="D92" s="177">
        <f>ROUNDUP((C92*'[4]FACTORES 2024'!$E$5),0)</f>
        <v>2265</v>
      </c>
      <c r="E92" s="166">
        <v>1125.5637</v>
      </c>
      <c r="F92" s="177">
        <f aca="true" t="shared" si="45" ref="F92:F98">ROUNDUP((C92*E92),0)</f>
        <v>13345809</v>
      </c>
      <c r="G92" s="177">
        <f>+C92+D92+F92</f>
        <v>13359931</v>
      </c>
      <c r="H92" s="177">
        <f aca="true" t="shared" si="46" ref="H92:H98">+G92-C92</f>
        <v>13348074</v>
      </c>
      <c r="I92" s="198"/>
      <c r="J92" s="200"/>
    </row>
    <row r="93" spans="1:10" ht="18">
      <c r="A93" s="86" t="str">
        <f>+'[4]PROYECCIÓN CIERRE 2022'!A93</f>
        <v>COMERCIALIZADOR</v>
      </c>
      <c r="B93" s="166">
        <f aca="true" t="shared" si="47" ref="B93:B98">+G93/$G$99</f>
        <v>0.034737632013785165</v>
      </c>
      <c r="C93" s="177">
        <v>4627619</v>
      </c>
      <c r="D93" s="177">
        <f>ROUNDUP((C93*'[4]FACTORES 2024'!$E$5),0)</f>
        <v>883883</v>
      </c>
      <c r="E93" s="166">
        <v>4.6481</v>
      </c>
      <c r="F93" s="177">
        <f t="shared" si="45"/>
        <v>21509636</v>
      </c>
      <c r="G93" s="177">
        <f aca="true" t="shared" si="48" ref="G93:G98">+C93+D93+F93</f>
        <v>27021138</v>
      </c>
      <c r="H93" s="177">
        <f t="shared" si="46"/>
        <v>22393519</v>
      </c>
      <c r="I93" s="198"/>
      <c r="J93" s="200"/>
    </row>
    <row r="94" spans="1:10" ht="18">
      <c r="A94" s="86" t="str">
        <f>+'[4]PROYECCIÓN CIERRE 2022'!A94</f>
        <v>FRUVER</v>
      </c>
      <c r="B94" s="166">
        <f t="shared" si="47"/>
        <v>0.09317220912047433</v>
      </c>
      <c r="C94" s="177">
        <v>49831676</v>
      </c>
      <c r="D94" s="177">
        <f>ROUNDUP((C94*'[4]FACTORES 2024'!$E$5),0)</f>
        <v>9517926</v>
      </c>
      <c r="E94" s="166">
        <v>0.2634</v>
      </c>
      <c r="F94" s="177">
        <f t="shared" si="45"/>
        <v>13125664</v>
      </c>
      <c r="G94" s="177">
        <f t="shared" si="48"/>
        <v>72475266</v>
      </c>
      <c r="H94" s="177">
        <f t="shared" si="46"/>
        <v>22643590</v>
      </c>
      <c r="I94" s="198"/>
      <c r="J94" s="200"/>
    </row>
    <row r="95" spans="1:10" ht="18">
      <c r="A95" s="86" t="str">
        <f>+'[4]PROYECCIÓN CIERRE 2022'!A95</f>
        <v>GRANDES SUPERFICIES</v>
      </c>
      <c r="B95" s="166">
        <f t="shared" si="47"/>
        <v>0.8192438163033777</v>
      </c>
      <c r="C95" s="177">
        <v>534837681</v>
      </c>
      <c r="D95" s="177">
        <f>ROUNDUP((C95*'[4]FACTORES 2024'!$E$5),0)</f>
        <v>102154809</v>
      </c>
      <c r="E95" s="166">
        <v>0.0005</v>
      </c>
      <c r="F95" s="177">
        <f t="shared" si="45"/>
        <v>267419</v>
      </c>
      <c r="G95" s="177">
        <f t="shared" si="48"/>
        <v>637259909</v>
      </c>
      <c r="H95" s="177">
        <f t="shared" si="46"/>
        <v>102422228</v>
      </c>
      <c r="I95" s="198"/>
      <c r="J95" s="200"/>
    </row>
    <row r="96" spans="1:10" ht="18">
      <c r="A96" s="86" t="str">
        <f>+'[4]PROYECCIÓN CIERRE 2022'!A96</f>
        <v>HORECA</v>
      </c>
      <c r="B96" s="166">
        <f t="shared" si="47"/>
        <v>0.035671182626183885</v>
      </c>
      <c r="C96" s="177">
        <v>14948437</v>
      </c>
      <c r="D96" s="177">
        <f>ROUNDUP((C96*'[4]FACTORES 2024'!$E$5),0)</f>
        <v>2855175</v>
      </c>
      <c r="E96" s="166">
        <v>0.6652</v>
      </c>
      <c r="F96" s="177">
        <f t="shared" si="45"/>
        <v>9943701</v>
      </c>
      <c r="G96" s="177">
        <f t="shared" si="48"/>
        <v>27747313</v>
      </c>
      <c r="H96" s="177">
        <f t="shared" si="46"/>
        <v>12798876</v>
      </c>
      <c r="I96" s="198"/>
      <c r="J96" s="200"/>
    </row>
    <row r="97" spans="1:10" ht="18">
      <c r="A97" s="86" t="str">
        <f>+'[4]PROYECCIÓN CIERRE 2022'!A97</f>
        <v>INDUSTRIA</v>
      </c>
      <c r="B97" s="166">
        <f t="shared" si="47"/>
        <v>0</v>
      </c>
      <c r="C97" s="177">
        <v>0</v>
      </c>
      <c r="D97" s="177">
        <f>ROUNDUP((C97*'[4]FACTORES 2024'!$E$5),0)</f>
        <v>0</v>
      </c>
      <c r="E97" s="166">
        <v>0</v>
      </c>
      <c r="F97" s="177">
        <f t="shared" si="45"/>
        <v>0</v>
      </c>
      <c r="G97" s="177">
        <f t="shared" si="48"/>
        <v>0</v>
      </c>
      <c r="H97" s="177">
        <f t="shared" si="46"/>
        <v>0</v>
      </c>
      <c r="I97" s="198"/>
      <c r="J97" s="200"/>
    </row>
    <row r="98" spans="1:10" ht="18">
      <c r="A98" s="86" t="str">
        <f>+'[4]PROYECCIÓN CIERRE 2022'!A98</f>
        <v>SEMILLERISTA</v>
      </c>
      <c r="B98" s="166">
        <f t="shared" si="47"/>
        <v>0</v>
      </c>
      <c r="C98" s="177">
        <v>0</v>
      </c>
      <c r="D98" s="177">
        <f>ROUNDUP((C98*'[4]FACTORES 2024'!$E$5),0)</f>
        <v>0</v>
      </c>
      <c r="E98" s="166">
        <v>0</v>
      </c>
      <c r="F98" s="177">
        <f t="shared" si="45"/>
        <v>0</v>
      </c>
      <c r="G98" s="177">
        <f t="shared" si="48"/>
        <v>0</v>
      </c>
      <c r="H98" s="177">
        <f t="shared" si="46"/>
        <v>0</v>
      </c>
      <c r="I98" s="198"/>
      <c r="J98" s="200"/>
    </row>
    <row r="99" spans="1:9" s="199" customFormat="1" ht="18">
      <c r="A99" s="84" t="s">
        <v>3</v>
      </c>
      <c r="B99" s="167">
        <f>SUM(B92:B98)</f>
        <v>0.9999999999999999</v>
      </c>
      <c r="C99" s="178">
        <f>SUM(C92:C98)</f>
        <v>604257270</v>
      </c>
      <c r="D99" s="178">
        <f>SUM(D92:D98)</f>
        <v>115414058</v>
      </c>
      <c r="E99" s="167">
        <f>+F99/C99</f>
        <v>0.09630373003207723</v>
      </c>
      <c r="F99" s="178">
        <f>SUM(F92:F98)</f>
        <v>58192229</v>
      </c>
      <c r="G99" s="176">
        <f>SUM(G92:G98)</f>
        <v>777863557</v>
      </c>
      <c r="H99" s="178">
        <f>+G99-C99</f>
        <v>173606287</v>
      </c>
      <c r="I99" s="198"/>
    </row>
    <row r="100" ht="18">
      <c r="G100" s="205"/>
    </row>
    <row r="101" spans="2:9" s="199" customFormat="1" ht="18">
      <c r="B101" s="207"/>
      <c r="C101" s="178">
        <f>+C9+C19+C29+C39+C49+C59+C69+C79+C89+C99</f>
        <v>7794856247</v>
      </c>
      <c r="D101" s="208">
        <f>+D9+D19+D29+D39+D49+D59+D69+D79+D89+D99</f>
        <v>1488829399</v>
      </c>
      <c r="E101" s="179"/>
      <c r="F101" s="178">
        <f>+F9+F19+F29+F39+F49+F59+F69+F79+F89+F99</f>
        <v>865055180</v>
      </c>
      <c r="G101" s="176">
        <f>+G9+G19+G29+G39+G49+G59+G69+G79+G89+G99</f>
        <v>10148740826</v>
      </c>
      <c r="H101" s="178">
        <f>+G101-C101</f>
        <v>2353884579</v>
      </c>
      <c r="I101" s="198"/>
    </row>
    <row r="102" spans="7:8" ht="18">
      <c r="G102" s="205"/>
      <c r="H102" s="209"/>
    </row>
    <row r="103" spans="1:16" s="199" customFormat="1" ht="31.5">
      <c r="A103" s="84" t="s">
        <v>71</v>
      </c>
      <c r="B103" s="167" t="str">
        <f>+B91</f>
        <v>% PARTICIPACIÓN POR CANAL</v>
      </c>
      <c r="C103" s="176" t="s">
        <v>162</v>
      </c>
      <c r="D103" s="175" t="str">
        <f>+D91</f>
        <v>FACTOR PRECIO</v>
      </c>
      <c r="E103" s="176" t="str">
        <f>+F91</f>
        <v>FACTOR GESTIÓN</v>
      </c>
      <c r="F103" s="176" t="s">
        <v>163</v>
      </c>
      <c r="G103" s="167" t="s">
        <v>240</v>
      </c>
      <c r="H103" s="176" t="str">
        <f>+H1</f>
        <v>DIFERENCIA</v>
      </c>
      <c r="L103" s="210"/>
      <c r="M103" s="211"/>
      <c r="P103" s="202"/>
    </row>
    <row r="104" spans="1:17" ht="16.5">
      <c r="A104" s="86" t="s">
        <v>72</v>
      </c>
      <c r="B104" s="166">
        <f>+C104/$C$114</f>
        <v>0.2628910712908179</v>
      </c>
      <c r="C104" s="177">
        <f>+G9</f>
        <v>2668013348</v>
      </c>
      <c r="D104" s="177">
        <f>+D9</f>
        <v>354404119</v>
      </c>
      <c r="E104" s="177">
        <f>+F9</f>
        <v>458105042</v>
      </c>
      <c r="F104" s="177">
        <f>+C9</f>
        <v>1855504187</v>
      </c>
      <c r="G104" s="166">
        <f>+(C104-F104)/F104</f>
        <v>0.4378913109938458</v>
      </c>
      <c r="H104" s="177">
        <f>+C104-F104</f>
        <v>812509161</v>
      </c>
      <c r="I104" s="202"/>
      <c r="J104" s="202"/>
      <c r="K104" s="202"/>
      <c r="L104" s="212"/>
      <c r="M104" s="213"/>
      <c r="O104" s="213"/>
      <c r="P104" s="202"/>
      <c r="Q104" s="203"/>
    </row>
    <row r="105" spans="1:17" ht="16.5">
      <c r="A105" s="86" t="s">
        <v>65</v>
      </c>
      <c r="B105" s="166">
        <f aca="true" t="shared" si="49" ref="B105:B113">+C105/$C$114</f>
        <v>0.02284641858288401</v>
      </c>
      <c r="C105" s="177">
        <f>+G19</f>
        <v>231862381</v>
      </c>
      <c r="D105" s="177">
        <f>+D19</f>
        <v>33508720</v>
      </c>
      <c r="E105" s="177">
        <f>+F19</f>
        <v>22916749</v>
      </c>
      <c r="F105" s="177">
        <f>+C19</f>
        <v>175436912</v>
      </c>
      <c r="G105" s="166">
        <f aca="true" t="shared" si="50" ref="G105:G113">+(C105-F105)/F105</f>
        <v>0.3216282614459151</v>
      </c>
      <c r="H105" s="177">
        <f aca="true" t="shared" si="51" ref="H105:H114">+C105-F105</f>
        <v>56425469</v>
      </c>
      <c r="I105" s="202"/>
      <c r="J105" s="202"/>
      <c r="K105" s="202"/>
      <c r="L105" s="212"/>
      <c r="M105" s="213"/>
      <c r="O105" s="213"/>
      <c r="P105" s="202"/>
      <c r="Q105" s="203"/>
    </row>
    <row r="106" spans="1:17" ht="16.5">
      <c r="A106" s="86" t="s">
        <v>66</v>
      </c>
      <c r="B106" s="166">
        <f t="shared" si="49"/>
        <v>0.1300282404117825</v>
      </c>
      <c r="C106" s="177">
        <f>+G29</f>
        <v>1319622912</v>
      </c>
      <c r="D106" s="177">
        <f>+D29</f>
        <v>206349266</v>
      </c>
      <c r="E106" s="177">
        <f>+F29</f>
        <v>32919595</v>
      </c>
      <c r="F106" s="177">
        <f>+C29</f>
        <v>1080354051</v>
      </c>
      <c r="G106" s="166">
        <f t="shared" si="50"/>
        <v>0.22147263739931125</v>
      </c>
      <c r="H106" s="177">
        <f t="shared" si="51"/>
        <v>239268861</v>
      </c>
      <c r="I106" s="202"/>
      <c r="J106" s="202"/>
      <c r="K106" s="202"/>
      <c r="L106" s="212"/>
      <c r="M106" s="213"/>
      <c r="O106" s="213"/>
      <c r="P106" s="202"/>
      <c r="Q106" s="203"/>
    </row>
    <row r="107" spans="1:17" ht="16.5">
      <c r="A107" s="86" t="s">
        <v>67</v>
      </c>
      <c r="B107" s="166">
        <f t="shared" si="49"/>
        <v>0.18364406806263633</v>
      </c>
      <c r="C107" s="177">
        <f>+G39</f>
        <v>1863756051</v>
      </c>
      <c r="D107" s="177">
        <f>+D39</f>
        <v>289445752</v>
      </c>
      <c r="E107" s="177">
        <f>+F39</f>
        <v>58899564</v>
      </c>
      <c r="F107" s="177">
        <f>+C39</f>
        <v>1515410735</v>
      </c>
      <c r="G107" s="166">
        <f t="shared" si="50"/>
        <v>0.22986858147075223</v>
      </c>
      <c r="H107" s="177">
        <f t="shared" si="51"/>
        <v>348345316</v>
      </c>
      <c r="I107" s="202"/>
      <c r="J107" s="202"/>
      <c r="K107" s="202"/>
      <c r="L107" s="212"/>
      <c r="M107" s="213"/>
      <c r="O107" s="213"/>
      <c r="P107" s="202"/>
      <c r="Q107" s="203"/>
    </row>
    <row r="108" spans="1:17" ht="16.5">
      <c r="A108" s="86" t="s">
        <v>68</v>
      </c>
      <c r="B108" s="166">
        <f t="shared" si="49"/>
        <v>0.17794975681843272</v>
      </c>
      <c r="C108" s="177">
        <f>+G49</f>
        <v>1805965962</v>
      </c>
      <c r="D108" s="177">
        <f>+D49</f>
        <v>286907220</v>
      </c>
      <c r="E108" s="177">
        <f>+F49</f>
        <v>16938652</v>
      </c>
      <c r="F108" s="177">
        <f>+C49</f>
        <v>1502120090</v>
      </c>
      <c r="G108" s="166">
        <f t="shared" si="50"/>
        <v>0.20227801626699501</v>
      </c>
      <c r="H108" s="177">
        <f t="shared" si="51"/>
        <v>303845872</v>
      </c>
      <c r="I108" s="202"/>
      <c r="J108" s="202"/>
      <c r="K108" s="202"/>
      <c r="L108" s="212"/>
      <c r="M108" s="213"/>
      <c r="O108" s="213"/>
      <c r="P108" s="202"/>
      <c r="Q108" s="203"/>
    </row>
    <row r="109" spans="1:17" ht="16.5">
      <c r="A109" s="86" t="s">
        <v>69</v>
      </c>
      <c r="B109" s="166">
        <f t="shared" si="49"/>
        <v>0.07965437277982174</v>
      </c>
      <c r="C109" s="177">
        <f>+G59</f>
        <v>808391585</v>
      </c>
      <c r="D109" s="177">
        <f>+D59</f>
        <v>111234166</v>
      </c>
      <c r="E109" s="177">
        <f>+F59</f>
        <v>114784229</v>
      </c>
      <c r="F109" s="177">
        <f>+C59</f>
        <v>582373190</v>
      </c>
      <c r="G109" s="166">
        <f t="shared" si="50"/>
        <v>0.388098900981345</v>
      </c>
      <c r="H109" s="177">
        <f t="shared" si="51"/>
        <v>226018395</v>
      </c>
      <c r="I109" s="202"/>
      <c r="J109" s="202"/>
      <c r="K109" s="202"/>
      <c r="L109" s="212"/>
      <c r="M109" s="213"/>
      <c r="O109" s="213"/>
      <c r="P109" s="202"/>
      <c r="Q109" s="203"/>
    </row>
    <row r="110" spans="1:17" ht="16.5">
      <c r="A110" s="86" t="s">
        <v>79</v>
      </c>
      <c r="B110" s="166">
        <f t="shared" si="49"/>
        <v>0.024507187173684948</v>
      </c>
      <c r="C110" s="177">
        <f>+G69</f>
        <v>248717091</v>
      </c>
      <c r="D110" s="177">
        <f>+D69</f>
        <v>32371591</v>
      </c>
      <c r="E110" s="177">
        <f>+F69</f>
        <v>46862091</v>
      </c>
      <c r="F110" s="177">
        <f>+C69</f>
        <v>169483409</v>
      </c>
      <c r="G110" s="166">
        <f t="shared" si="50"/>
        <v>0.46750111097895136</v>
      </c>
      <c r="H110" s="177">
        <f t="shared" si="51"/>
        <v>79233682</v>
      </c>
      <c r="I110" s="202"/>
      <c r="J110" s="202"/>
      <c r="K110" s="202"/>
      <c r="L110" s="212"/>
      <c r="M110" s="213"/>
      <c r="O110" s="213"/>
      <c r="P110" s="202"/>
      <c r="Q110" s="203"/>
    </row>
    <row r="111" spans="1:17" ht="16.5">
      <c r="A111" s="86" t="s">
        <v>80</v>
      </c>
      <c r="B111" s="166">
        <f t="shared" si="49"/>
        <v>0.012943373000862561</v>
      </c>
      <c r="C111" s="177">
        <f>+G79</f>
        <v>131358938</v>
      </c>
      <c r="D111" s="177">
        <f>+D79</f>
        <v>18624791</v>
      </c>
      <c r="E111" s="177">
        <f>+F79</f>
        <v>15222938</v>
      </c>
      <c r="F111" s="177">
        <f>+C79</f>
        <v>97511209</v>
      </c>
      <c r="G111" s="166">
        <f t="shared" si="50"/>
        <v>0.3471162889591493</v>
      </c>
      <c r="H111" s="177">
        <f t="shared" si="51"/>
        <v>33847729</v>
      </c>
      <c r="I111" s="202"/>
      <c r="J111" s="202"/>
      <c r="K111" s="202"/>
      <c r="L111" s="212"/>
      <c r="M111" s="213"/>
      <c r="O111" s="213"/>
      <c r="P111" s="202"/>
      <c r="Q111" s="203"/>
    </row>
    <row r="112" spans="1:13" ht="16.5">
      <c r="A112" s="86" t="s">
        <v>103</v>
      </c>
      <c r="B112" s="166">
        <f t="shared" si="49"/>
        <v>0.028889199756572836</v>
      </c>
      <c r="C112" s="177">
        <f>+G89</f>
        <v>293189001</v>
      </c>
      <c r="D112" s="177">
        <f>+D89</f>
        <v>40569716</v>
      </c>
      <c r="E112" s="177">
        <f>+F89</f>
        <v>40214091</v>
      </c>
      <c r="F112" s="177">
        <f>+C89</f>
        <v>212405194</v>
      </c>
      <c r="G112" s="166">
        <f t="shared" si="50"/>
        <v>0.3803287738811133</v>
      </c>
      <c r="H112" s="177">
        <f t="shared" si="51"/>
        <v>80783807</v>
      </c>
      <c r="I112" s="214"/>
      <c r="J112" s="214"/>
      <c r="K112" s="214"/>
      <c r="L112" s="212"/>
      <c r="M112" s="213"/>
    </row>
    <row r="113" spans="1:13" ht="16.5">
      <c r="A113" s="86" t="s">
        <v>104</v>
      </c>
      <c r="B113" s="166">
        <f t="shared" si="49"/>
        <v>0.07664631212250449</v>
      </c>
      <c r="C113" s="177">
        <f>+G99</f>
        <v>777863557</v>
      </c>
      <c r="D113" s="177">
        <f>+D99</f>
        <v>115414058</v>
      </c>
      <c r="E113" s="177">
        <f>+F99</f>
        <v>58192229</v>
      </c>
      <c r="F113" s="177">
        <f>+C99</f>
        <v>604257270</v>
      </c>
      <c r="G113" s="166">
        <f t="shared" si="50"/>
        <v>0.28730525161906617</v>
      </c>
      <c r="H113" s="177">
        <f t="shared" si="51"/>
        <v>173606287</v>
      </c>
      <c r="I113" s="214"/>
      <c r="J113" s="214"/>
      <c r="K113" s="214"/>
      <c r="L113" s="212"/>
      <c r="M113" s="213"/>
    </row>
    <row r="114" spans="1:12" s="199" customFormat="1" ht="16.5">
      <c r="A114" s="84" t="s">
        <v>3</v>
      </c>
      <c r="B114" s="167">
        <f>SUM(B104:B113)</f>
        <v>1</v>
      </c>
      <c r="C114" s="178">
        <f>SUM(C104:C113)</f>
        <v>10148740826</v>
      </c>
      <c r="D114" s="178">
        <f>SUM(D104:D113)</f>
        <v>1488829399</v>
      </c>
      <c r="E114" s="178">
        <f>SUM(E104:E113)</f>
        <v>865055180</v>
      </c>
      <c r="F114" s="178">
        <f>SUM(F104:F113)</f>
        <v>7794856247</v>
      </c>
      <c r="G114" s="167">
        <f>+(C114-F114)/F114</f>
        <v>0.30197921608957673</v>
      </c>
      <c r="H114" s="178">
        <f t="shared" si="51"/>
        <v>2353884579</v>
      </c>
      <c r="I114" s="215"/>
      <c r="J114" s="215"/>
      <c r="K114" s="215"/>
      <c r="L114" s="211"/>
    </row>
    <row r="115" ht="18">
      <c r="I115" s="216"/>
    </row>
    <row r="116" spans="1:13" s="199" customFormat="1" ht="31.5">
      <c r="A116" s="84" t="s">
        <v>164</v>
      </c>
      <c r="B116" s="167" t="s">
        <v>113</v>
      </c>
      <c r="C116" s="176" t="str">
        <f>+C103</f>
        <v>META 2024</v>
      </c>
      <c r="D116" s="175" t="str">
        <f>+D103</f>
        <v>FACTOR PRECIO</v>
      </c>
      <c r="E116" s="176" t="str">
        <f>+E103</f>
        <v>FACTOR GESTIÓN</v>
      </c>
      <c r="F116" s="176" t="str">
        <f>+F103</f>
        <v>PROYECTADA 2023</v>
      </c>
      <c r="G116" s="167" t="str">
        <f>+G103</f>
        <v>% VARIACION 2023 - 2024</v>
      </c>
      <c r="H116" s="176" t="str">
        <f>+H1</f>
        <v>DIFERENCIA</v>
      </c>
      <c r="I116" s="201"/>
      <c r="J116" s="201"/>
      <c r="K116" s="201"/>
      <c r="L116" s="201"/>
      <c r="M116" s="211"/>
    </row>
    <row r="117" spans="1:14" ht="16.5">
      <c r="A117" s="86" t="str">
        <f aca="true" t="shared" si="52" ref="A117:A123">+A2</f>
        <v>CENTRAL DE ABASTOS</v>
      </c>
      <c r="B117" s="166">
        <f aca="true" t="shared" si="53" ref="B117:B123">+C117/$C$124</f>
        <v>0.14669130432280092</v>
      </c>
      <c r="C117" s="177">
        <f>+G2+G12+G22+G32+G42+G52+G62+G72+G82+G92</f>
        <v>1488732029</v>
      </c>
      <c r="D117" s="177">
        <f aca="true" t="shared" si="54" ref="D117:D123">+D2+D12+D22+D32+D42+D52+D62+D72+D82+D92</f>
        <v>224690639</v>
      </c>
      <c r="E117" s="177">
        <f>+F2+F12+F22+F32+F42+F52+F62+F72+F82+F92</f>
        <v>87659971</v>
      </c>
      <c r="F117" s="177">
        <f>+C2+C12+C22+C32+C42+C52+C62+C72+C82+C92</f>
        <v>1176381419</v>
      </c>
      <c r="G117" s="166">
        <f>+(C117-F117)/F117</f>
        <v>0.2655181431423136</v>
      </c>
      <c r="H117" s="177">
        <f>+C117-F117</f>
        <v>312350610</v>
      </c>
      <c r="I117" s="217"/>
      <c r="J117" s="217"/>
      <c r="K117" s="217"/>
      <c r="L117" s="217"/>
      <c r="M117" s="218"/>
      <c r="N117" s="209"/>
    </row>
    <row r="118" spans="1:14" ht="16.5">
      <c r="A118" s="86" t="str">
        <f t="shared" si="52"/>
        <v>COMERCIALIZADOR</v>
      </c>
      <c r="B118" s="166">
        <f t="shared" si="53"/>
        <v>0.11656075007545966</v>
      </c>
      <c r="C118" s="177">
        <f aca="true" t="shared" si="55" ref="C118:C123">+G3+G13+G23+G33+G43+G53+G63+G73+G83+G93</f>
        <v>1182944843</v>
      </c>
      <c r="D118" s="177">
        <f t="shared" si="54"/>
        <v>166749579</v>
      </c>
      <c r="E118" s="177">
        <f aca="true" t="shared" si="56" ref="E118:E123">+F3+F13+F23+F33+F43+F53+F63+F73+F83+F93</f>
        <v>143167791</v>
      </c>
      <c r="F118" s="177">
        <f aca="true" t="shared" si="57" ref="F118:F123">+C3+C13+C23+C33+C43+C53+C63+C73+C83+C93</f>
        <v>873027473</v>
      </c>
      <c r="G118" s="166">
        <f aca="true" t="shared" si="58" ref="G118:G124">+(C118-F118)/F118</f>
        <v>0.3549915433188206</v>
      </c>
      <c r="H118" s="177">
        <f aca="true" t="shared" si="59" ref="H118:H124">+C118-F118</f>
        <v>309917370</v>
      </c>
      <c r="I118" s="217"/>
      <c r="J118" s="217"/>
      <c r="K118" s="217"/>
      <c r="L118" s="217"/>
      <c r="M118" s="218"/>
      <c r="N118" s="209"/>
    </row>
    <row r="119" spans="1:14" ht="16.5">
      <c r="A119" s="86" t="str">
        <f t="shared" si="52"/>
        <v>FRUVER</v>
      </c>
      <c r="B119" s="166">
        <f t="shared" si="53"/>
        <v>0.23433864395346418</v>
      </c>
      <c r="C119" s="177">
        <f t="shared" si="55"/>
        <v>2378242163</v>
      </c>
      <c r="D119" s="177">
        <f t="shared" si="54"/>
        <v>337488156</v>
      </c>
      <c r="E119" s="177">
        <f t="shared" si="56"/>
        <v>273814377</v>
      </c>
      <c r="F119" s="177">
        <f t="shared" si="57"/>
        <v>1766939630</v>
      </c>
      <c r="G119" s="166">
        <f t="shared" si="58"/>
        <v>0.34596684720914883</v>
      </c>
      <c r="H119" s="177">
        <f t="shared" si="59"/>
        <v>611302533</v>
      </c>
      <c r="I119" s="217"/>
      <c r="J119" s="217"/>
      <c r="K119" s="217"/>
      <c r="L119" s="217"/>
      <c r="M119" s="218"/>
      <c r="N119" s="209"/>
    </row>
    <row r="120" spans="1:14" ht="16.5">
      <c r="A120" s="86" t="str">
        <f t="shared" si="52"/>
        <v>GRANDES SUPERFICIES</v>
      </c>
      <c r="B120" s="166">
        <f t="shared" si="53"/>
        <v>0.1292071777654045</v>
      </c>
      <c r="C120" s="177">
        <f t="shared" si="55"/>
        <v>1311290160</v>
      </c>
      <c r="D120" s="177">
        <f t="shared" si="54"/>
        <v>209972010</v>
      </c>
      <c r="E120" s="177">
        <f t="shared" si="56"/>
        <v>1996996</v>
      </c>
      <c r="F120" s="177">
        <f t="shared" si="57"/>
        <v>1099321154</v>
      </c>
      <c r="G120" s="166">
        <f t="shared" si="58"/>
        <v>0.19281809071782857</v>
      </c>
      <c r="H120" s="177">
        <f t="shared" si="59"/>
        <v>211969006</v>
      </c>
      <c r="I120" s="217"/>
      <c r="J120" s="217"/>
      <c r="K120" s="217"/>
      <c r="L120" s="217"/>
      <c r="M120" s="218"/>
      <c r="N120" s="209"/>
    </row>
    <row r="121" spans="1:14" ht="16.5">
      <c r="A121" s="86" t="str">
        <f t="shared" si="52"/>
        <v>HORECA</v>
      </c>
      <c r="B121" s="166">
        <f t="shared" si="53"/>
        <v>0.040022634331089775</v>
      </c>
      <c r="C121" s="177">
        <f t="shared" si="55"/>
        <v>406179343</v>
      </c>
      <c r="D121" s="177">
        <f t="shared" si="54"/>
        <v>57776687</v>
      </c>
      <c r="E121" s="177">
        <f t="shared" si="56"/>
        <v>45909336</v>
      </c>
      <c r="F121" s="177">
        <f t="shared" si="57"/>
        <v>302493320</v>
      </c>
      <c r="G121" s="166">
        <f t="shared" si="58"/>
        <v>0.34277128169309656</v>
      </c>
      <c r="H121" s="177">
        <f t="shared" si="59"/>
        <v>103686023</v>
      </c>
      <c r="I121" s="217"/>
      <c r="J121" s="217"/>
      <c r="K121" s="217"/>
      <c r="L121" s="217"/>
      <c r="M121" s="218"/>
      <c r="N121" s="209"/>
    </row>
    <row r="122" spans="1:14" ht="16.5">
      <c r="A122" s="86" t="str">
        <f t="shared" si="52"/>
        <v>INDUSTRIA</v>
      </c>
      <c r="B122" s="166">
        <f t="shared" si="53"/>
        <v>0.3306998029156292</v>
      </c>
      <c r="C122" s="177">
        <f t="shared" si="55"/>
        <v>3356186591</v>
      </c>
      <c r="D122" s="177">
        <f t="shared" si="54"/>
        <v>488199927</v>
      </c>
      <c r="E122" s="177">
        <f t="shared" si="56"/>
        <v>311986433</v>
      </c>
      <c r="F122" s="177">
        <f t="shared" si="57"/>
        <v>2556000231</v>
      </c>
      <c r="G122" s="166">
        <f t="shared" si="58"/>
        <v>0.31306192788837817</v>
      </c>
      <c r="H122" s="177">
        <f t="shared" si="59"/>
        <v>800186360</v>
      </c>
      <c r="I122" s="217"/>
      <c r="J122" s="217"/>
      <c r="K122" s="217"/>
      <c r="L122" s="217"/>
      <c r="M122" s="218"/>
      <c r="N122" s="209"/>
    </row>
    <row r="123" spans="1:14" ht="16.5">
      <c r="A123" s="86" t="str">
        <f t="shared" si="52"/>
        <v>SEMILLERISTA</v>
      </c>
      <c r="B123" s="166">
        <f t="shared" si="53"/>
        <v>0.0024796866361517624</v>
      </c>
      <c r="C123" s="177">
        <f t="shared" si="55"/>
        <v>25165697</v>
      </c>
      <c r="D123" s="177">
        <f t="shared" si="54"/>
        <v>3952401</v>
      </c>
      <c r="E123" s="177">
        <f t="shared" si="56"/>
        <v>520276</v>
      </c>
      <c r="F123" s="177">
        <f t="shared" si="57"/>
        <v>20693020</v>
      </c>
      <c r="G123" s="166">
        <f t="shared" si="58"/>
        <v>0.21614423607573954</v>
      </c>
      <c r="H123" s="177">
        <f t="shared" si="59"/>
        <v>4472677</v>
      </c>
      <c r="I123" s="217"/>
      <c r="J123" s="217"/>
      <c r="K123" s="217"/>
      <c r="L123" s="217"/>
      <c r="M123" s="218"/>
      <c r="N123" s="209"/>
    </row>
    <row r="124" spans="1:13" s="199" customFormat="1" ht="16.5">
      <c r="A124" s="84" t="s">
        <v>3</v>
      </c>
      <c r="B124" s="167">
        <f>SUM(B117:B123)</f>
        <v>0.9999999999999999</v>
      </c>
      <c r="C124" s="178">
        <f>SUM(C117:C123)</f>
        <v>10148740826</v>
      </c>
      <c r="D124" s="178">
        <f>SUM(D117:D123)</f>
        <v>1488829399</v>
      </c>
      <c r="E124" s="178">
        <f>SUM(E117:E123)</f>
        <v>865055180</v>
      </c>
      <c r="F124" s="178">
        <f>SUM(F117:F123)</f>
        <v>7794856247</v>
      </c>
      <c r="G124" s="167">
        <f t="shared" si="58"/>
        <v>0.30197921608957673</v>
      </c>
      <c r="H124" s="178">
        <f t="shared" si="59"/>
        <v>2353884579</v>
      </c>
      <c r="I124" s="219"/>
      <c r="J124" s="219"/>
      <c r="K124" s="219"/>
      <c r="L124" s="219"/>
      <c r="M124" s="202"/>
    </row>
    <row r="125" spans="1:13" s="199" customFormat="1" ht="16.5">
      <c r="A125" s="84"/>
      <c r="B125" s="175"/>
      <c r="C125" s="178"/>
      <c r="D125" s="208">
        <f>+D124/F124</f>
        <v>0.19100152098032655</v>
      </c>
      <c r="E125" s="175">
        <f>+E124/F124</f>
        <v>0.11097769510925017</v>
      </c>
      <c r="F125" s="178"/>
      <c r="G125" s="167"/>
      <c r="H125" s="178"/>
      <c r="I125" s="219"/>
      <c r="J125" s="219"/>
      <c r="K125" s="219"/>
      <c r="L125" s="219"/>
      <c r="M125" s="202"/>
    </row>
    <row r="126" ht="18">
      <c r="I126" s="216"/>
    </row>
    <row r="127" spans="1:9" ht="31.5">
      <c r="A127" s="54"/>
      <c r="B127" s="175" t="str">
        <f>+C116</f>
        <v>META 2024</v>
      </c>
      <c r="C127" s="176" t="str">
        <f>+F116</f>
        <v>PROYECTADA 2023</v>
      </c>
      <c r="D127" s="167" t="str">
        <f>+G116</f>
        <v>% VARIACION 2023 - 2024</v>
      </c>
      <c r="I127" s="216"/>
    </row>
    <row r="128" spans="1:9" s="199" customFormat="1" ht="18">
      <c r="A128" s="87" t="s">
        <v>88</v>
      </c>
      <c r="B128" s="220">
        <f>+C124</f>
        <v>10148740826</v>
      </c>
      <c r="C128" s="220">
        <f>+F124</f>
        <v>7794856247</v>
      </c>
      <c r="D128" s="168">
        <f>+(B128-C128)/C128</f>
        <v>0.30197921608957673</v>
      </c>
      <c r="E128" s="221"/>
      <c r="F128" s="221"/>
      <c r="G128" s="222"/>
      <c r="H128" s="223"/>
      <c r="I128" s="224"/>
    </row>
    <row r="129" spans="1:9" s="199" customFormat="1" ht="18">
      <c r="A129" s="87" t="s">
        <v>89</v>
      </c>
      <c r="B129" s="220">
        <f>+'[4]Estimación Mensual'!G64</f>
        <v>716469641</v>
      </c>
      <c r="C129" s="220">
        <v>587270197</v>
      </c>
      <c r="D129" s="168">
        <f>+(B129-C129)/C129</f>
        <v>0.22000000112384385</v>
      </c>
      <c r="E129" s="223"/>
      <c r="F129" s="223"/>
      <c r="G129" s="223"/>
      <c r="H129" s="223"/>
      <c r="I129" s="224"/>
    </row>
    <row r="130" spans="1:9" s="199" customFormat="1" ht="18">
      <c r="A130" s="87" t="s">
        <v>3</v>
      </c>
      <c r="B130" s="225">
        <f>+B128+B129</f>
        <v>10865210467</v>
      </c>
      <c r="C130" s="225">
        <f>+C128+C129</f>
        <v>8382126444</v>
      </c>
      <c r="D130" s="180">
        <f>+(B130-C130)/C130</f>
        <v>0.29623557215334223</v>
      </c>
      <c r="E130" s="223"/>
      <c r="F130" s="223"/>
      <c r="G130" s="223"/>
      <c r="H130" s="223"/>
      <c r="I130" s="224"/>
    </row>
    <row r="131" spans="1:9" s="199" customFormat="1" ht="18">
      <c r="A131" s="87" t="s">
        <v>73</v>
      </c>
      <c r="B131" s="220">
        <f>+'[4]Estimación Mensual'!G57</f>
        <v>559156250</v>
      </c>
      <c r="C131" s="220">
        <v>447325000</v>
      </c>
      <c r="D131" s="168">
        <f>+(B131-C131)/C131</f>
        <v>0.25</v>
      </c>
      <c r="E131" s="223"/>
      <c r="F131" s="223"/>
      <c r="G131" s="223"/>
      <c r="H131" s="223"/>
      <c r="I131" s="224"/>
    </row>
    <row r="132" spans="8:9" ht="18">
      <c r="H132" s="209"/>
      <c r="I132" s="224"/>
    </row>
    <row r="133" spans="1:7" s="228" customFormat="1" ht="31.5" hidden="1">
      <c r="A133" s="84" t="s">
        <v>70</v>
      </c>
      <c r="B133" s="175" t="s">
        <v>156</v>
      </c>
      <c r="C133" s="176" t="s">
        <v>157</v>
      </c>
      <c r="D133" s="175" t="s">
        <v>158</v>
      </c>
      <c r="E133" s="176" t="s">
        <v>159</v>
      </c>
      <c r="F133" s="226"/>
      <c r="G133" s="227"/>
    </row>
    <row r="134" spans="1:9" ht="16.5" hidden="1">
      <c r="A134" s="85">
        <v>45292</v>
      </c>
      <c r="B134" s="177">
        <f>+'[4]Estimación Mensual'!K4</f>
        <v>833356891</v>
      </c>
      <c r="C134" s="177">
        <f>+'[4]Estimación Mensual'!K21</f>
        <v>107892144</v>
      </c>
      <c r="D134" s="177">
        <f aca="true" t="shared" si="60" ref="D134:D145">+B134+C134</f>
        <v>941249035</v>
      </c>
      <c r="E134" s="177">
        <f>+'[4]Estimación Mensual'!K38</f>
        <v>37585457</v>
      </c>
      <c r="F134" s="201"/>
      <c r="G134" s="201"/>
      <c r="I134" s="201"/>
    </row>
    <row r="135" spans="1:9" ht="16.5" hidden="1">
      <c r="A135" s="85">
        <v>45323</v>
      </c>
      <c r="B135" s="177">
        <f>+'[4]Estimación Mensual'!K5</f>
        <v>857796905</v>
      </c>
      <c r="C135" s="177">
        <f>+'[4]Estimación Mensual'!K22</f>
        <v>41067965</v>
      </c>
      <c r="D135" s="177">
        <f t="shared" si="60"/>
        <v>898864870</v>
      </c>
      <c r="E135" s="177">
        <f>+'[4]Estimación Mensual'!K39</f>
        <v>16047531</v>
      </c>
      <c r="F135" s="201"/>
      <c r="G135" s="201"/>
      <c r="I135" s="201"/>
    </row>
    <row r="136" spans="1:9" ht="16.5" hidden="1">
      <c r="A136" s="85">
        <v>45352</v>
      </c>
      <c r="B136" s="177">
        <f>+'[4]Estimación Mensual'!K6</f>
        <v>932390574</v>
      </c>
      <c r="C136" s="177">
        <f>+'[4]Estimación Mensual'!K23</f>
        <v>16431761</v>
      </c>
      <c r="D136" s="177">
        <f t="shared" si="60"/>
        <v>948822335</v>
      </c>
      <c r="E136" s="177">
        <f>+'[4]Estimación Mensual'!K40</f>
        <v>6146401</v>
      </c>
      <c r="F136" s="201"/>
      <c r="G136" s="201"/>
      <c r="I136" s="201"/>
    </row>
    <row r="137" spans="1:9" ht="16.5" hidden="1">
      <c r="A137" s="85">
        <v>45383</v>
      </c>
      <c r="B137" s="177">
        <f>+'[4]Estimación Mensual'!K7</f>
        <v>958583791</v>
      </c>
      <c r="C137" s="177">
        <f>+'[4]Estimación Mensual'!K24</f>
        <v>74455133</v>
      </c>
      <c r="D137" s="177">
        <f t="shared" si="60"/>
        <v>1033038924</v>
      </c>
      <c r="E137" s="177">
        <f>+'[4]Estimación Mensual'!K41</f>
        <v>61639896</v>
      </c>
      <c r="F137" s="201"/>
      <c r="G137" s="201"/>
      <c r="I137" s="201"/>
    </row>
    <row r="138" spans="1:9" ht="16.5" hidden="1">
      <c r="A138" s="85">
        <v>45413</v>
      </c>
      <c r="B138" s="177">
        <f>+'[4]Estimación Mensual'!K8</f>
        <v>867097782</v>
      </c>
      <c r="C138" s="177">
        <f>+'[4]Estimación Mensual'!K25</f>
        <v>12275420</v>
      </c>
      <c r="D138" s="177">
        <f t="shared" si="60"/>
        <v>879373202</v>
      </c>
      <c r="E138" s="177">
        <f>+'[4]Estimación Mensual'!K42</f>
        <v>10778293</v>
      </c>
      <c r="F138" s="201"/>
      <c r="G138" s="201"/>
      <c r="I138" s="201"/>
    </row>
    <row r="139" spans="1:9" ht="16.5" hidden="1">
      <c r="A139" s="85">
        <v>45444</v>
      </c>
      <c r="B139" s="177">
        <f>+'[4]Estimación Mensual'!K9</f>
        <v>830478406</v>
      </c>
      <c r="C139" s="177">
        <f>+'[4]Estimación Mensual'!K26</f>
        <v>19522511</v>
      </c>
      <c r="D139" s="177">
        <f t="shared" si="60"/>
        <v>850000917</v>
      </c>
      <c r="E139" s="177">
        <f>+'[4]Estimación Mensual'!K43</f>
        <v>25544686</v>
      </c>
      <c r="F139" s="201"/>
      <c r="G139" s="201"/>
      <c r="I139" s="201"/>
    </row>
    <row r="140" spans="1:9" ht="16.5" hidden="1">
      <c r="A140" s="85">
        <v>45474</v>
      </c>
      <c r="B140" s="177">
        <f>+'[4]Estimación Mensual'!K10</f>
        <v>762686982</v>
      </c>
      <c r="C140" s="177">
        <f>+'[4]Estimación Mensual'!K27</f>
        <v>25682819</v>
      </c>
      <c r="D140" s="177">
        <f t="shared" si="60"/>
        <v>788369801</v>
      </c>
      <c r="E140" s="177">
        <f>+'[4]Estimación Mensual'!K44</f>
        <v>7285560</v>
      </c>
      <c r="F140" s="201"/>
      <c r="G140" s="201"/>
      <c r="I140" s="201"/>
    </row>
    <row r="141" spans="1:9" ht="16.5" hidden="1">
      <c r="A141" s="85">
        <v>45505</v>
      </c>
      <c r="B141" s="177">
        <f>+'[4]Estimación Mensual'!K11</f>
        <v>834840714</v>
      </c>
      <c r="C141" s="177">
        <f>+'[4]Estimación Mensual'!K28</f>
        <v>26924486</v>
      </c>
      <c r="D141" s="177">
        <f t="shared" si="60"/>
        <v>861765200</v>
      </c>
      <c r="E141" s="177">
        <f>+'[4]Estimación Mensual'!K45</f>
        <v>10490803</v>
      </c>
      <c r="F141" s="201"/>
      <c r="G141" s="201"/>
      <c r="I141" s="201"/>
    </row>
    <row r="142" spans="1:9" ht="16.5" hidden="1">
      <c r="A142" s="85">
        <v>45536</v>
      </c>
      <c r="B142" s="177">
        <f>+'[4]Estimación Mensual'!K12</f>
        <v>793427654</v>
      </c>
      <c r="C142" s="177">
        <f>+'[4]Estimación Mensual'!K29</f>
        <v>218652055</v>
      </c>
      <c r="D142" s="177">
        <f t="shared" si="60"/>
        <v>1012079709</v>
      </c>
      <c r="E142" s="177">
        <f>+'[4]Estimación Mensual'!K46</f>
        <v>307696663</v>
      </c>
      <c r="F142" s="201"/>
      <c r="G142" s="201"/>
      <c r="I142" s="201"/>
    </row>
    <row r="143" spans="1:9" ht="16.5" hidden="1">
      <c r="A143" s="85">
        <v>45566</v>
      </c>
      <c r="B143" s="177">
        <f>+'[4]Estimación Mensual'!K13</f>
        <v>821858400</v>
      </c>
      <c r="C143" s="177">
        <f>+'[4]Estimación Mensual'!K30</f>
        <v>24858029</v>
      </c>
      <c r="D143" s="177">
        <f t="shared" si="60"/>
        <v>846716429</v>
      </c>
      <c r="E143" s="177">
        <f>+'[4]Estimación Mensual'!K47</f>
        <v>12609463</v>
      </c>
      <c r="F143" s="201"/>
      <c r="G143" s="201"/>
      <c r="I143" s="201"/>
    </row>
    <row r="144" spans="1:9" ht="16.5" hidden="1">
      <c r="A144" s="85">
        <v>45597</v>
      </c>
      <c r="B144" s="177">
        <f>+'[4]Estimación Mensual'!K14</f>
        <v>827245837</v>
      </c>
      <c r="C144" s="177">
        <f>+'[4]Estimación Mensual'!K31</f>
        <v>116697426</v>
      </c>
      <c r="D144" s="177">
        <f t="shared" si="60"/>
        <v>943943263</v>
      </c>
      <c r="E144" s="177">
        <f>+'[4]Estimación Mensual'!K48</f>
        <v>42057503</v>
      </c>
      <c r="F144" s="201"/>
      <c r="G144" s="201"/>
      <c r="I144" s="201"/>
    </row>
    <row r="145" spans="1:9" ht="16.5" hidden="1">
      <c r="A145" s="85">
        <v>45627</v>
      </c>
      <c r="B145" s="177">
        <f>+'[4]Estimación Mensual'!K15</f>
        <v>828976897</v>
      </c>
      <c r="C145" s="177">
        <f>+'[4]Estimación Mensual'!K32</f>
        <v>32009898</v>
      </c>
      <c r="D145" s="177">
        <f t="shared" si="60"/>
        <v>860986795</v>
      </c>
      <c r="E145" s="177">
        <f>+'[4]Estimación Mensual'!K49</f>
        <v>21274001</v>
      </c>
      <c r="F145" s="201"/>
      <c r="G145" s="201"/>
      <c r="I145" s="201"/>
    </row>
    <row r="146" spans="1:5" s="228" customFormat="1" ht="15.75" hidden="1">
      <c r="A146" s="84" t="s">
        <v>3</v>
      </c>
      <c r="B146" s="178">
        <f>SUM(B134:B145)</f>
        <v>10148740833</v>
      </c>
      <c r="C146" s="178">
        <f>SUM(C134:C145)</f>
        <v>716469647</v>
      </c>
      <c r="D146" s="178">
        <f>SUM(D134:D145)</f>
        <v>10865210480</v>
      </c>
      <c r="E146" s="178">
        <f>SUM(E134:E145)</f>
        <v>559156257</v>
      </c>
    </row>
    <row r="147" spans="1:9" s="228" customFormat="1" ht="18" hidden="1">
      <c r="A147" s="84" t="s">
        <v>241</v>
      </c>
      <c r="B147" s="178">
        <f>+D146+E146</f>
        <v>11424366737</v>
      </c>
      <c r="C147" s="229"/>
      <c r="D147" s="229"/>
      <c r="E147" s="230"/>
      <c r="F147" s="231"/>
      <c r="G147" s="231"/>
      <c r="I147" s="232"/>
    </row>
    <row r="148" ht="18" hidden="1"/>
    <row r="149" spans="1:17" s="204" customFormat="1" ht="18">
      <c r="A149" s="201"/>
      <c r="B149" s="201"/>
      <c r="C149" s="209"/>
      <c r="D149" s="209"/>
      <c r="H149" s="201"/>
      <c r="I149" s="206"/>
      <c r="J149" s="201"/>
      <c r="K149" s="201"/>
      <c r="L149" s="201"/>
      <c r="M149" s="201"/>
      <c r="N149" s="201"/>
      <c r="O149" s="201"/>
      <c r="P149" s="201"/>
      <c r="Q149" s="201"/>
    </row>
    <row r="152" ht="18">
      <c r="B152" s="209"/>
    </row>
    <row r="153" ht="18">
      <c r="B153" s="209"/>
    </row>
  </sheetData>
  <sheetProtection/>
  <printOptions/>
  <pageMargins left="0.7086614173228347" right="0.7086614173228347" top="0.7480314960629921" bottom="0.7480314960629921" header="0.31496062992125984" footer="0.31496062992125984"/>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sheetPr>
    <tabColor theme="5" tint="-0.24997000396251678"/>
  </sheetPr>
  <dimension ref="A1:A1"/>
  <sheetViews>
    <sheetView zoomScalePageLayoutView="0" workbookViewId="0" topLeftCell="A13">
      <selection activeCell="A2" sqref="A2"/>
    </sheetView>
  </sheetViews>
  <sheetFormatPr defaultColWidth="11.57421875" defaultRowHeight="15"/>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71336C"/>
  </sheetPr>
  <dimension ref="A1:HV22"/>
  <sheetViews>
    <sheetView zoomScale="80" zoomScaleNormal="80" workbookViewId="0" topLeftCell="B10">
      <selection activeCell="C19" sqref="C19"/>
    </sheetView>
  </sheetViews>
  <sheetFormatPr defaultColWidth="9.140625" defaultRowHeight="15"/>
  <cols>
    <col min="1" max="1" width="24.28125" style="45" customWidth="1"/>
    <col min="2" max="2" width="47.421875" style="107" customWidth="1"/>
    <col min="3" max="3" width="15.00390625" style="77" customWidth="1"/>
    <col min="4" max="4" width="12.8515625" style="45" customWidth="1"/>
    <col min="5" max="5" width="12.8515625" style="52" customWidth="1"/>
    <col min="6" max="8" width="16.7109375" style="78" customWidth="1"/>
    <col min="9" max="9" width="13.421875" style="42" customWidth="1"/>
    <col min="10" max="10" width="73.8515625" style="51" customWidth="1"/>
    <col min="11" max="11" width="9.140625" style="45" customWidth="1"/>
    <col min="12" max="12" width="12.7109375" style="45" bestFit="1" customWidth="1"/>
    <col min="13" max="13" width="13.7109375" style="45" bestFit="1" customWidth="1"/>
    <col min="14" max="231" width="9.140625" style="45" customWidth="1"/>
    <col min="232" max="232" width="44.8515625" style="45" customWidth="1"/>
    <col min="233" max="233" width="15.00390625" style="45" customWidth="1"/>
    <col min="234" max="235" width="12.8515625" style="45" customWidth="1"/>
    <col min="236" max="237" width="16.7109375" style="45" customWidth="1"/>
    <col min="238" max="238" width="15.28125" style="45" customWidth="1"/>
    <col min="239" max="239" width="13.421875" style="45" customWidth="1"/>
    <col min="240" max="240" width="85.140625" style="45" customWidth="1"/>
    <col min="241" max="241" width="16.28125" style="45" bestFit="1" customWidth="1"/>
    <col min="242" max="242" width="9.140625" style="45" customWidth="1"/>
    <col min="243" max="243" width="17.421875" style="45" bestFit="1" customWidth="1"/>
    <col min="244" max="244" width="16.140625" style="45" bestFit="1" customWidth="1"/>
    <col min="245" max="16384" width="9.140625" style="45" customWidth="1"/>
  </cols>
  <sheetData>
    <row r="1" spans="3:10" ht="15.75">
      <c r="C1" s="182"/>
      <c r="F1" s="183"/>
      <c r="G1" s="183"/>
      <c r="H1" s="183"/>
      <c r="I1" s="53"/>
      <c r="J1" s="56"/>
    </row>
    <row r="2" spans="2:10" ht="15.75">
      <c r="B2" s="309" t="s">
        <v>14</v>
      </c>
      <c r="C2" s="310"/>
      <c r="D2" s="310"/>
      <c r="E2" s="310"/>
      <c r="F2" s="311"/>
      <c r="G2" s="310"/>
      <c r="H2" s="310"/>
      <c r="I2" s="310"/>
      <c r="J2" s="310"/>
    </row>
    <row r="3" spans="2:10" ht="33" customHeight="1">
      <c r="B3" s="309" t="s">
        <v>242</v>
      </c>
      <c r="C3" s="310"/>
      <c r="D3" s="310"/>
      <c r="E3" s="310"/>
      <c r="F3" s="311"/>
      <c r="G3" s="310"/>
      <c r="H3" s="310"/>
      <c r="I3" s="310"/>
      <c r="J3" s="310"/>
    </row>
    <row r="4" spans="3:9" ht="16.5" thickBot="1">
      <c r="C4" s="182"/>
      <c r="F4" s="183"/>
      <c r="G4" s="183"/>
      <c r="H4" s="183"/>
      <c r="I4" s="53"/>
    </row>
    <row r="5" spans="1:230" ht="32.25" thickBot="1">
      <c r="A5" s="46"/>
      <c r="B5" s="109" t="s">
        <v>61</v>
      </c>
      <c r="C5" s="110" t="s">
        <v>53</v>
      </c>
      <c r="D5" s="111" t="s">
        <v>48</v>
      </c>
      <c r="E5" s="112" t="s">
        <v>55</v>
      </c>
      <c r="F5" s="113" t="s">
        <v>166</v>
      </c>
      <c r="G5" s="110" t="s">
        <v>127</v>
      </c>
      <c r="H5" s="110" t="s">
        <v>118</v>
      </c>
      <c r="I5" s="114" t="s">
        <v>52</v>
      </c>
      <c r="J5" s="117" t="s">
        <v>54</v>
      </c>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row>
    <row r="6" spans="2:10" ht="15.75">
      <c r="B6" s="118" t="s">
        <v>8</v>
      </c>
      <c r="C6" s="119"/>
      <c r="D6" s="119"/>
      <c r="E6" s="120"/>
      <c r="F6" s="156">
        <f>SUM(F7:F7)</f>
        <v>0</v>
      </c>
      <c r="G6" s="153">
        <f>SUM(G7:G7)</f>
        <v>0</v>
      </c>
      <c r="H6" s="153">
        <f>SUM(H7:H7)</f>
        <v>0</v>
      </c>
      <c r="I6" s="121">
        <v>1</v>
      </c>
      <c r="J6" s="191"/>
    </row>
    <row r="7" spans="2:10" ht="102.75" customHeight="1">
      <c r="B7" s="162" t="s">
        <v>225</v>
      </c>
      <c r="C7" s="72">
        <v>0</v>
      </c>
      <c r="D7" s="134">
        <v>10</v>
      </c>
      <c r="E7" s="135" t="s">
        <v>56</v>
      </c>
      <c r="F7" s="157">
        <f>+C7*D7</f>
        <v>0</v>
      </c>
      <c r="G7" s="145"/>
      <c r="H7" s="145">
        <f>+F7-G7</f>
        <v>0</v>
      </c>
      <c r="I7" s="50">
        <v>1</v>
      </c>
      <c r="J7" s="192" t="s">
        <v>226</v>
      </c>
    </row>
    <row r="8" spans="2:10" ht="15.75">
      <c r="B8" s="122" t="s">
        <v>10</v>
      </c>
      <c r="C8" s="123"/>
      <c r="D8" s="123"/>
      <c r="E8" s="124"/>
      <c r="F8" s="158">
        <f>F9+F11+F14+F17</f>
        <v>0</v>
      </c>
      <c r="G8" s="143">
        <f>G9+G11+G14+G17</f>
        <v>0</v>
      </c>
      <c r="H8" s="143">
        <f>H9+H11+H14+H17</f>
        <v>0</v>
      </c>
      <c r="I8" s="49">
        <v>1</v>
      </c>
      <c r="J8" s="193"/>
    </row>
    <row r="9" spans="2:10" ht="15.75">
      <c r="B9" s="115" t="s">
        <v>124</v>
      </c>
      <c r="C9" s="146"/>
      <c r="D9" s="125"/>
      <c r="E9" s="126"/>
      <c r="F9" s="159">
        <f>+F10</f>
        <v>0</v>
      </c>
      <c r="G9" s="147">
        <f>+G10</f>
        <v>0</v>
      </c>
      <c r="H9" s="147">
        <f>+H10</f>
        <v>0</v>
      </c>
      <c r="I9" s="108">
        <v>1</v>
      </c>
      <c r="J9" s="194"/>
    </row>
    <row r="10" spans="2:10" ht="94.5">
      <c r="B10" s="142" t="s">
        <v>227</v>
      </c>
      <c r="C10" s="144">
        <v>0</v>
      </c>
      <c r="D10" s="136">
        <v>2</v>
      </c>
      <c r="E10" s="135" t="s">
        <v>228</v>
      </c>
      <c r="F10" s="157">
        <f>+C10*D10</f>
        <v>0</v>
      </c>
      <c r="G10" s="145"/>
      <c r="H10" s="145">
        <f>+F10-G10</f>
        <v>0</v>
      </c>
      <c r="I10" s="50">
        <v>1</v>
      </c>
      <c r="J10" s="192" t="s">
        <v>229</v>
      </c>
    </row>
    <row r="11" spans="2:10" ht="15.75">
      <c r="B11" s="115" t="s">
        <v>49</v>
      </c>
      <c r="C11" s="148"/>
      <c r="D11" s="127"/>
      <c r="E11" s="128"/>
      <c r="F11" s="159">
        <f>+F12+F13</f>
        <v>0</v>
      </c>
      <c r="G11" s="147">
        <f>+G12+G13</f>
        <v>0</v>
      </c>
      <c r="H11" s="147">
        <f>+H12+H13</f>
        <v>0</v>
      </c>
      <c r="I11" s="108">
        <v>1</v>
      </c>
      <c r="J11" s="194"/>
    </row>
    <row r="12" spans="2:10" ht="78.75" customHeight="1">
      <c r="B12" s="48" t="s">
        <v>230</v>
      </c>
      <c r="C12" s="144">
        <v>0</v>
      </c>
      <c r="D12" s="136">
        <v>2</v>
      </c>
      <c r="E12" s="135" t="s">
        <v>102</v>
      </c>
      <c r="F12" s="157">
        <f>+C12*D12</f>
        <v>0</v>
      </c>
      <c r="G12" s="145"/>
      <c r="H12" s="145">
        <f>+F12-G12</f>
        <v>0</v>
      </c>
      <c r="I12" s="50">
        <v>1</v>
      </c>
      <c r="J12" s="192" t="s">
        <v>231</v>
      </c>
    </row>
    <row r="13" spans="2:10" ht="91.5" customHeight="1">
      <c r="B13" s="48" t="s">
        <v>217</v>
      </c>
      <c r="C13" s="144">
        <v>0</v>
      </c>
      <c r="D13" s="57">
        <v>2</v>
      </c>
      <c r="E13" s="133" t="s">
        <v>218</v>
      </c>
      <c r="F13" s="160">
        <f>+D13*C13</f>
        <v>0</v>
      </c>
      <c r="G13" s="145"/>
      <c r="H13" s="145">
        <f>+F13-G13</f>
        <v>0</v>
      </c>
      <c r="I13" s="50">
        <v>1</v>
      </c>
      <c r="J13" s="192" t="s">
        <v>232</v>
      </c>
    </row>
    <row r="14" spans="2:10" ht="15.75">
      <c r="B14" s="115" t="s">
        <v>101</v>
      </c>
      <c r="C14" s="148"/>
      <c r="D14" s="129"/>
      <c r="E14" s="130"/>
      <c r="F14" s="159">
        <f>+F15+F16</f>
        <v>0</v>
      </c>
      <c r="G14" s="147">
        <f>+G15+G16</f>
        <v>0</v>
      </c>
      <c r="H14" s="147">
        <f>+H15+H16</f>
        <v>0</v>
      </c>
      <c r="I14" s="108">
        <v>1</v>
      </c>
      <c r="J14" s="194"/>
    </row>
    <row r="15" spans="2:10" ht="51.75" customHeight="1">
      <c r="B15" s="48" t="s">
        <v>233</v>
      </c>
      <c r="C15" s="144">
        <v>0</v>
      </c>
      <c r="D15" s="57">
        <v>30</v>
      </c>
      <c r="E15" s="133" t="s">
        <v>234</v>
      </c>
      <c r="F15" s="160">
        <f>C15*D15*2</f>
        <v>0</v>
      </c>
      <c r="G15" s="145"/>
      <c r="H15" s="145">
        <f>+F15-G15</f>
        <v>0</v>
      </c>
      <c r="I15" s="50">
        <v>1</v>
      </c>
      <c r="J15" s="192" t="s">
        <v>235</v>
      </c>
    </row>
    <row r="16" spans="2:13" ht="94.5" customHeight="1">
      <c r="B16" s="48" t="s">
        <v>236</v>
      </c>
      <c r="C16" s="144">
        <v>0</v>
      </c>
      <c r="D16" s="57">
        <v>2</v>
      </c>
      <c r="E16" s="133" t="s">
        <v>237</v>
      </c>
      <c r="F16" s="160">
        <f>C16*D16</f>
        <v>0</v>
      </c>
      <c r="G16" s="145"/>
      <c r="H16" s="145">
        <f>+F16-G16</f>
        <v>0</v>
      </c>
      <c r="I16" s="50">
        <v>1</v>
      </c>
      <c r="J16" s="192" t="s">
        <v>238</v>
      </c>
      <c r="L16" s="71"/>
      <c r="M16" s="47"/>
    </row>
    <row r="17" spans="2:10" ht="15.75">
      <c r="B17" s="115" t="s">
        <v>100</v>
      </c>
      <c r="C17" s="148"/>
      <c r="D17" s="129"/>
      <c r="E17" s="130"/>
      <c r="F17" s="159">
        <f>SUM(F18:F18)</f>
        <v>0</v>
      </c>
      <c r="G17" s="147">
        <f>SUM(G18:G18)</f>
        <v>0</v>
      </c>
      <c r="H17" s="147">
        <f>+F17-G17</f>
        <v>0</v>
      </c>
      <c r="I17" s="108">
        <v>1</v>
      </c>
      <c r="J17" s="194"/>
    </row>
    <row r="18" spans="2:10" ht="87.75" customHeight="1" thickBot="1">
      <c r="B18" s="188" t="s">
        <v>51</v>
      </c>
      <c r="C18" s="154">
        <v>0</v>
      </c>
      <c r="D18" s="68">
        <v>60</v>
      </c>
      <c r="E18" s="137" t="s">
        <v>51</v>
      </c>
      <c r="F18" s="190">
        <f>+D18*C18</f>
        <v>0</v>
      </c>
      <c r="G18" s="189"/>
      <c r="H18" s="189">
        <f>+F18-G18</f>
        <v>0</v>
      </c>
      <c r="I18" s="55">
        <v>1</v>
      </c>
      <c r="J18" s="195" t="s">
        <v>239</v>
      </c>
    </row>
    <row r="19" spans="2:10" ht="16.5" thickBot="1">
      <c r="B19" s="149" t="s">
        <v>42</v>
      </c>
      <c r="C19" s="150"/>
      <c r="D19" s="151"/>
      <c r="E19" s="155"/>
      <c r="F19" s="161">
        <f>F8+F6</f>
        <v>0</v>
      </c>
      <c r="G19" s="152">
        <f>G8+G6</f>
        <v>0</v>
      </c>
      <c r="H19" s="152">
        <f>H8+H6</f>
        <v>0</v>
      </c>
      <c r="I19" s="116">
        <v>1</v>
      </c>
      <c r="J19" s="196"/>
    </row>
    <row r="21" spans="6:7" ht="15.75">
      <c r="F21" s="78" t="e">
        <f>+'[3]CONTRAPARTIDA FEDEPAPA'!#REF!</f>
        <v>#REF!</v>
      </c>
      <c r="G21" s="45" t="s">
        <v>222</v>
      </c>
    </row>
    <row r="22" ht="15.75">
      <c r="F22" s="78" t="e">
        <f>+F19+F21</f>
        <v>#REF!</v>
      </c>
    </row>
  </sheetData>
  <sheetProtection/>
  <autoFilter ref="B5:J19"/>
  <mergeCells count="2">
    <mergeCell ref="B2:J2"/>
    <mergeCell ref="B3:J3"/>
  </mergeCells>
  <printOptions/>
  <pageMargins left="0.5905511811023623" right="0.5905511811023623" top="0.5511811023622047" bottom="0.5511811023622047" header="0.31496062992125984" footer="0.31496062992125984"/>
  <pageSetup horizontalDpi="600" verticalDpi="600" orientation="landscape" scale="55" r:id="rId1"/>
  <colBreaks count="1" manualBreakCount="1">
    <brk id="10" max="31" man="1"/>
  </colBreaks>
</worksheet>
</file>

<file path=xl/worksheets/sheet6.xml><?xml version="1.0" encoding="utf-8"?>
<worksheet xmlns="http://schemas.openxmlformats.org/spreadsheetml/2006/main" xmlns:r="http://schemas.openxmlformats.org/officeDocument/2006/relationships">
  <sheetPr>
    <tabColor rgb="FFEDD7EB"/>
  </sheetPr>
  <dimension ref="B2:O7"/>
  <sheetViews>
    <sheetView zoomScalePageLayoutView="0" workbookViewId="0" topLeftCell="A1">
      <selection activeCell="C7" sqref="C7"/>
    </sheetView>
  </sheetViews>
  <sheetFormatPr defaultColWidth="13.140625" defaultRowHeight="15"/>
  <cols>
    <col min="1" max="1" width="13.140625" style="73" customWidth="1"/>
    <col min="2" max="3" width="17.28125" style="73" customWidth="1"/>
    <col min="4" max="4" width="14.140625" style="73" customWidth="1"/>
    <col min="5" max="5" width="17.28125" style="73" customWidth="1"/>
    <col min="6" max="6" width="15.28125" style="73" customWidth="1"/>
    <col min="7" max="7" width="77.140625" style="73" customWidth="1"/>
    <col min="8" max="16384" width="13.140625" style="73" customWidth="1"/>
  </cols>
  <sheetData>
    <row r="2" spans="2:15" ht="15.75">
      <c r="B2" s="312" t="s">
        <v>14</v>
      </c>
      <c r="C2" s="312"/>
      <c r="D2" s="312"/>
      <c r="E2" s="312"/>
      <c r="F2" s="312"/>
      <c r="G2" s="312"/>
      <c r="H2" s="70"/>
      <c r="I2" s="70"/>
      <c r="K2" s="74"/>
      <c r="L2" s="74"/>
      <c r="M2" s="75"/>
      <c r="O2" s="74"/>
    </row>
    <row r="3" spans="2:15" ht="15.75">
      <c r="B3" s="312" t="s">
        <v>224</v>
      </c>
      <c r="C3" s="312"/>
      <c r="D3" s="312"/>
      <c r="E3" s="312"/>
      <c r="F3" s="312"/>
      <c r="G3" s="312"/>
      <c r="H3" s="70"/>
      <c r="I3" s="70"/>
      <c r="K3" s="74"/>
      <c r="L3" s="74"/>
      <c r="M3" s="75"/>
      <c r="O3" s="74"/>
    </row>
    <row r="5" spans="2:7" ht="15.75">
      <c r="B5" s="181" t="s">
        <v>167</v>
      </c>
      <c r="C5" s="79" t="s">
        <v>53</v>
      </c>
      <c r="D5" s="181" t="s">
        <v>48</v>
      </c>
      <c r="E5" s="181" t="s">
        <v>168</v>
      </c>
      <c r="F5" s="80" t="s">
        <v>45</v>
      </c>
      <c r="G5" s="82" t="s">
        <v>54</v>
      </c>
    </row>
    <row r="6" spans="2:7" ht="78.75">
      <c r="B6" s="81" t="s">
        <v>51</v>
      </c>
      <c r="C6" s="83">
        <v>0</v>
      </c>
      <c r="D6" s="185">
        <v>60</v>
      </c>
      <c r="E6" s="186" t="s">
        <v>51</v>
      </c>
      <c r="F6" s="187">
        <f>+D6*C6</f>
        <v>0</v>
      </c>
      <c r="G6" s="184" t="s">
        <v>239</v>
      </c>
    </row>
    <row r="7" spans="2:7" s="76" customFormat="1" ht="15.75">
      <c r="B7" s="174" t="s">
        <v>3</v>
      </c>
      <c r="C7" s="169"/>
      <c r="D7" s="170"/>
      <c r="E7" s="171"/>
      <c r="F7" s="172">
        <f>SUM(F6:F6)</f>
        <v>0</v>
      </c>
      <c r="G7" s="173"/>
    </row>
  </sheetData>
  <sheetProtection/>
  <mergeCells count="2">
    <mergeCell ref="B2:G2"/>
    <mergeCell ref="B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sistemas fnfp</cp:lastModifiedBy>
  <cp:lastPrinted>2023-12-12T12:10:33Z</cp:lastPrinted>
  <dcterms:created xsi:type="dcterms:W3CDTF">2015-08-20T16:35:16Z</dcterms:created>
  <dcterms:modified xsi:type="dcterms:W3CDTF">2024-07-08T14:01:39Z</dcterms:modified>
  <cp:category/>
  <cp:version/>
  <cp:contentType/>
  <cp:contentStatus/>
</cp:coreProperties>
</file>