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COORDINADOR PPTAL\LEY DE TRANSPARENCIA PAGINA WEB\2019 EN ADELANTE - ANEXOS MATRIZ DE CUMPLIMIENTO\5. PRESUPUESTO\"/>
    </mc:Choice>
  </mc:AlternateContent>
  <bookViews>
    <workbookView xWindow="0" yWindow="0" windowWidth="15345" windowHeight="7350" firstSheet="3" activeTab="3"/>
  </bookViews>
  <sheets>
    <sheet name="TRASLADO INT 04-2020" sheetId="18" state="hidden" r:id="rId1"/>
    <sheet name="CIERRE 4TO TRIM" sheetId="15" state="hidden" r:id="rId2"/>
    <sheet name="AJUSTE VIGENCIA 2020" sheetId="16" state="hidden" r:id="rId3"/>
    <sheet name="VIGENCIA 2020" sheetId="17" r:id="rId4"/>
    <sheet name="TRASLADO INT 05-2020" sheetId="19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'AJUSTE VIGENCIA 2020'!$B$7:$V$104</definedName>
    <definedName name="_xlnm._FilterDatabase" localSheetId="1" hidden="1">'CIERRE 4TO TRIM'!$B$8:$I$105</definedName>
    <definedName name="_xlnm._FilterDatabase" localSheetId="0" hidden="1">'TRASLADO INT 04-2020'!$B$8:$I$105</definedName>
    <definedName name="_xlnm._FilterDatabase" localSheetId="4" hidden="1">'TRASLADO INT 05-2020'!$B$7:$V$104</definedName>
    <definedName name="_xlnm._FilterDatabase" localSheetId="3" hidden="1">'VIGENCIA 2020'!$B$7:$V$104</definedName>
    <definedName name="_xlnm.Print_Area" localSheetId="2">'AJUSTE VIGENCIA 2020'!$B$2:$C$104</definedName>
    <definedName name="_xlnm.Print_Area" localSheetId="4">'TRASLADO INT 05-2020'!$B$2:$C$104</definedName>
    <definedName name="_xlnm.Print_Area" localSheetId="3">'VIGENCIA 2020'!$B$2:$C$104</definedName>
    <definedName name="data" localSheetId="0">#REF!</definedName>
    <definedName name="data" localSheetId="4">#REF!</definedName>
    <definedName name="data" localSheetId="3">#REF!</definedName>
    <definedName name="data">#REF!</definedName>
    <definedName name="FECFIN" localSheetId="2">#REF!</definedName>
    <definedName name="FECFIN" localSheetId="1">#REF!</definedName>
    <definedName name="FECFIN" localSheetId="0">#REF!</definedName>
    <definedName name="FECFIN" localSheetId="4">#REF!</definedName>
    <definedName name="FECFIN" localSheetId="3">#REF!</definedName>
    <definedName name="FECFIN">#REF!</definedName>
    <definedName name="FECHAF" localSheetId="2">#REF!</definedName>
    <definedName name="FECHAF" localSheetId="1">#REF!</definedName>
    <definedName name="FECHAF" localSheetId="0">#REF!</definedName>
    <definedName name="FECHAF" localSheetId="4">#REF!</definedName>
    <definedName name="FECHAF" localSheetId="3">#REF!</definedName>
    <definedName name="FECHAF">#REF!</definedName>
    <definedName name="FECHAFIN">'[1]RECAUDO OK'!$M$59</definedName>
    <definedName name="FECHAI" localSheetId="2">#REF!</definedName>
    <definedName name="FECHAI" localSheetId="1">#REF!</definedName>
    <definedName name="FECHAI" localSheetId="0">#REF!</definedName>
    <definedName name="FECHAI" localSheetId="4">#REF!</definedName>
    <definedName name="FECHAI" localSheetId="3">#REF!</definedName>
    <definedName name="FECHAI">#REF!</definedName>
    <definedName name="FECHAINI">'[1]RECAUDO OK'!$M$58</definedName>
    <definedName name="FECINI" localSheetId="2">#REF!</definedName>
    <definedName name="FECINI" localSheetId="1">#REF!</definedName>
    <definedName name="FECINI" localSheetId="0">#REF!</definedName>
    <definedName name="FECINI" localSheetId="4">#REF!</definedName>
    <definedName name="FECINI" localSheetId="3">#REF!</definedName>
    <definedName name="FECINI">#REF!</definedName>
    <definedName name="FECINIC" localSheetId="2">#REF!</definedName>
    <definedName name="FECINIC" localSheetId="1">#REF!</definedName>
    <definedName name="FECINIC" localSheetId="0">#REF!</definedName>
    <definedName name="FECINIC" localSheetId="4">#REF!</definedName>
    <definedName name="FECINIC" localSheetId="3">#REF!</definedName>
    <definedName name="FECINIC">#REF!</definedName>
    <definedName name="FEFIN" localSheetId="2">'[1]RECAUDO OK'!#REF!</definedName>
    <definedName name="FEFIN" localSheetId="1">'[1]RECAUDO OK'!#REF!</definedName>
    <definedName name="FEFIN" localSheetId="0">'[1]RECAUDO OK'!#REF!</definedName>
    <definedName name="FEFIN" localSheetId="4">'[1]RECAUDO OK'!#REF!</definedName>
    <definedName name="FEFIN" localSheetId="3">'[1]RECAUDO OK'!#REF!</definedName>
    <definedName name="FEFIN">'[1]RECAUDO OK'!#REF!</definedName>
    <definedName name="_xlnm.Print_Titles" localSheetId="2">'AJUSTE VIGENCIA 2020'!$2:$4</definedName>
    <definedName name="_xlnm.Print_Titles" localSheetId="4">'TRASLADO INT 05-2020'!$2:$4</definedName>
    <definedName name="_xlnm.Print_Titles" localSheetId="3">'VIGENCIA 2020'!$2:$4</definedName>
    <definedName name="Z_B4F84E58_6105_4108_BE7B_DA4F3BADB9B7_.wvu.Cols" localSheetId="2" hidden="1">'AJUSTE VIGENCIA 2020'!#REF!,'AJUSTE VIGENCIA 2020'!#REF!</definedName>
    <definedName name="Z_B4F84E58_6105_4108_BE7B_DA4F3BADB9B7_.wvu.Cols" localSheetId="4" hidden="1">'TRASLADO INT 05-2020'!#REF!,'TRASLADO INT 05-2020'!#REF!</definedName>
    <definedName name="Z_B4F84E58_6105_4108_BE7B_DA4F3BADB9B7_.wvu.Cols" localSheetId="3" hidden="1">'VIGENCIA 2020'!#REF!,'VIGENCIA 2020'!#REF!</definedName>
    <definedName name="Z_B4F84E58_6105_4108_BE7B_DA4F3BADB9B7_.wvu.PrintArea" localSheetId="2" hidden="1">'AJUSTE VIGENCIA 2020'!$B$3:$C$104</definedName>
    <definedName name="Z_B4F84E58_6105_4108_BE7B_DA4F3BADB9B7_.wvu.PrintArea" localSheetId="4" hidden="1">'TRASLADO INT 05-2020'!$B$3:$C$104</definedName>
    <definedName name="Z_B4F84E58_6105_4108_BE7B_DA4F3BADB9B7_.wvu.PrintArea" localSheetId="3" hidden="1">'VIGENCIA 2020'!$B$3:$C$104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5" l="1"/>
  <c r="G11" i="15"/>
  <c r="S10" i="17"/>
  <c r="F14" i="15" l="1"/>
  <c r="U110" i="19" l="1"/>
  <c r="U109" i="19"/>
  <c r="U108" i="19"/>
  <c r="T99" i="19"/>
  <c r="S99" i="19"/>
  <c r="R99" i="19"/>
  <c r="Q99" i="19"/>
  <c r="P99" i="19"/>
  <c r="K99" i="19"/>
  <c r="J99" i="19"/>
  <c r="J81" i="19" s="1"/>
  <c r="I99" i="19"/>
  <c r="I81" i="19" s="1"/>
  <c r="H99" i="19"/>
  <c r="G99" i="19"/>
  <c r="F99" i="19"/>
  <c r="E99" i="19"/>
  <c r="D99" i="19"/>
  <c r="C99" i="19"/>
  <c r="U98" i="19"/>
  <c r="N98" i="19"/>
  <c r="V98" i="19" s="1"/>
  <c r="U97" i="19"/>
  <c r="N97" i="19"/>
  <c r="V97" i="19" s="1"/>
  <c r="U96" i="19"/>
  <c r="U95" i="19" s="1"/>
  <c r="N96" i="19"/>
  <c r="V96" i="19" s="1"/>
  <c r="V95" i="19" s="1"/>
  <c r="T95" i="19"/>
  <c r="S95" i="19"/>
  <c r="R95" i="19"/>
  <c r="Q95" i="19"/>
  <c r="P95" i="19"/>
  <c r="K95" i="19"/>
  <c r="J95" i="19"/>
  <c r="I95" i="19"/>
  <c r="H95" i="19"/>
  <c r="G95" i="19"/>
  <c r="F95" i="19"/>
  <c r="E95" i="19"/>
  <c r="D95" i="19"/>
  <c r="C95" i="19"/>
  <c r="U94" i="19"/>
  <c r="N94" i="19"/>
  <c r="V94" i="19" s="1"/>
  <c r="V93" i="19"/>
  <c r="U93" i="19"/>
  <c r="N93" i="19"/>
  <c r="V92" i="19"/>
  <c r="U92" i="19"/>
  <c r="N92" i="19"/>
  <c r="U91" i="19"/>
  <c r="N91" i="19"/>
  <c r="V91" i="19" s="1"/>
  <c r="U90" i="19"/>
  <c r="N90" i="19"/>
  <c r="V90" i="19" s="1"/>
  <c r="V89" i="19"/>
  <c r="U89" i="19"/>
  <c r="N89" i="19"/>
  <c r="V88" i="19"/>
  <c r="U88" i="19"/>
  <c r="N88" i="19"/>
  <c r="U87" i="19"/>
  <c r="N87" i="19"/>
  <c r="V87" i="19" s="1"/>
  <c r="U86" i="19"/>
  <c r="N86" i="19"/>
  <c r="V86" i="19" s="1"/>
  <c r="V85" i="19"/>
  <c r="U85" i="19"/>
  <c r="N85" i="19"/>
  <c r="V84" i="19"/>
  <c r="U84" i="19"/>
  <c r="N84" i="19"/>
  <c r="U83" i="19"/>
  <c r="N83" i="19"/>
  <c r="N82" i="19" s="1"/>
  <c r="U82" i="19"/>
  <c r="T82" i="19"/>
  <c r="T81" i="19" s="1"/>
  <c r="S82" i="19"/>
  <c r="S81" i="19" s="1"/>
  <c r="S50" i="19" s="1"/>
  <c r="R82" i="19"/>
  <c r="R81" i="19" s="1"/>
  <c r="R50" i="19" s="1"/>
  <c r="Q82" i="19"/>
  <c r="Q81" i="19" s="1"/>
  <c r="Q50" i="19" s="1"/>
  <c r="Q102" i="19" s="1"/>
  <c r="P82" i="19"/>
  <c r="K82" i="19"/>
  <c r="J82" i="19"/>
  <c r="I82" i="19"/>
  <c r="H82" i="19"/>
  <c r="H81" i="19" s="1"/>
  <c r="G82" i="19"/>
  <c r="G81" i="19" s="1"/>
  <c r="F82" i="19"/>
  <c r="F81" i="19" s="1"/>
  <c r="E82" i="19"/>
  <c r="D82" i="19"/>
  <c r="D81" i="19" s="1"/>
  <c r="D50" i="19" s="1"/>
  <c r="C82" i="19"/>
  <c r="C81" i="19" s="1"/>
  <c r="C50" i="19" s="1"/>
  <c r="P81" i="19"/>
  <c r="P50" i="19" s="1"/>
  <c r="P102" i="19" s="1"/>
  <c r="U80" i="19"/>
  <c r="N80" i="19"/>
  <c r="V80" i="19" s="1"/>
  <c r="U79" i="19"/>
  <c r="N79" i="19"/>
  <c r="V79" i="19" s="1"/>
  <c r="V78" i="19"/>
  <c r="U78" i="19"/>
  <c r="N78" i="19"/>
  <c r="U77" i="19"/>
  <c r="N77" i="19"/>
  <c r="V77" i="19" s="1"/>
  <c r="U76" i="19"/>
  <c r="N76" i="19"/>
  <c r="V76" i="19" s="1"/>
  <c r="U75" i="19"/>
  <c r="N75" i="19"/>
  <c r="V75" i="19" s="1"/>
  <c r="V74" i="19"/>
  <c r="U74" i="19"/>
  <c r="N74" i="19"/>
  <c r="U73" i="19"/>
  <c r="N73" i="19"/>
  <c r="V73" i="19" s="1"/>
  <c r="U72" i="19"/>
  <c r="N72" i="19"/>
  <c r="V72" i="19" s="1"/>
  <c r="U71" i="19"/>
  <c r="N71" i="19"/>
  <c r="V71" i="19" s="1"/>
  <c r="V70" i="19"/>
  <c r="U70" i="19"/>
  <c r="N70" i="19"/>
  <c r="U69" i="19"/>
  <c r="N69" i="19"/>
  <c r="V69" i="19" s="1"/>
  <c r="U68" i="19"/>
  <c r="N68" i="19"/>
  <c r="V68" i="19" s="1"/>
  <c r="U67" i="19"/>
  <c r="U63" i="19" s="1"/>
  <c r="N67" i="19"/>
  <c r="V67" i="19" s="1"/>
  <c r="V66" i="19"/>
  <c r="U66" i="19"/>
  <c r="N66" i="19"/>
  <c r="U65" i="19"/>
  <c r="N65" i="19"/>
  <c r="V65" i="19" s="1"/>
  <c r="U64" i="19"/>
  <c r="N64" i="19"/>
  <c r="N63" i="19" s="1"/>
  <c r="T63" i="19"/>
  <c r="S63" i="19"/>
  <c r="R63" i="19"/>
  <c r="Q63" i="19"/>
  <c r="P63" i="19"/>
  <c r="K63" i="19"/>
  <c r="J63" i="19"/>
  <c r="I63" i="19"/>
  <c r="H63" i="19"/>
  <c r="G63" i="19"/>
  <c r="F63" i="19"/>
  <c r="E63" i="19"/>
  <c r="D63" i="19"/>
  <c r="C63" i="19"/>
  <c r="V62" i="19"/>
  <c r="U62" i="19"/>
  <c r="N62" i="19"/>
  <c r="U61" i="19"/>
  <c r="N61" i="19"/>
  <c r="V61" i="19" s="1"/>
  <c r="U60" i="19"/>
  <c r="N60" i="19"/>
  <c r="V60" i="19" s="1"/>
  <c r="V59" i="19"/>
  <c r="U59" i="19"/>
  <c r="N59" i="19"/>
  <c r="V58" i="19"/>
  <c r="U58" i="19"/>
  <c r="N58" i="19"/>
  <c r="U57" i="19"/>
  <c r="N57" i="19"/>
  <c r="V57" i="19" s="1"/>
  <c r="U56" i="19"/>
  <c r="N56" i="19"/>
  <c r="V56" i="19" s="1"/>
  <c r="V55" i="19"/>
  <c r="U55" i="19"/>
  <c r="N55" i="19"/>
  <c r="V54" i="19"/>
  <c r="U54" i="19"/>
  <c r="N54" i="19"/>
  <c r="U53" i="19"/>
  <c r="N53" i="19"/>
  <c r="V53" i="19" s="1"/>
  <c r="U52" i="19"/>
  <c r="U51" i="19" s="1"/>
  <c r="N52" i="19"/>
  <c r="V52" i="19" s="1"/>
  <c r="T51" i="19"/>
  <c r="S51" i="19"/>
  <c r="R51" i="19"/>
  <c r="Q51" i="19"/>
  <c r="P51" i="19"/>
  <c r="K51" i="19"/>
  <c r="J51" i="19"/>
  <c r="I51" i="19"/>
  <c r="H51" i="19"/>
  <c r="G51" i="19"/>
  <c r="F51" i="19"/>
  <c r="E51" i="19"/>
  <c r="D51" i="19"/>
  <c r="C51" i="19"/>
  <c r="U49" i="19"/>
  <c r="U48" i="19" s="1"/>
  <c r="T49" i="19"/>
  <c r="T48" i="19" s="1"/>
  <c r="S49" i="19"/>
  <c r="S48" i="19" s="1"/>
  <c r="R49" i="19"/>
  <c r="R48" i="19" s="1"/>
  <c r="Q49" i="19"/>
  <c r="P49" i="19"/>
  <c r="K49" i="19"/>
  <c r="J49" i="19"/>
  <c r="I49" i="19"/>
  <c r="I48" i="19" s="1"/>
  <c r="H49" i="19"/>
  <c r="H48" i="19" s="1"/>
  <c r="G49" i="19"/>
  <c r="G48" i="19" s="1"/>
  <c r="F49" i="19"/>
  <c r="F48" i="19" s="1"/>
  <c r="E49" i="19"/>
  <c r="E48" i="19" s="1"/>
  <c r="D49" i="19"/>
  <c r="D48" i="19" s="1"/>
  <c r="C49" i="19"/>
  <c r="C48" i="19" s="1"/>
  <c r="Q48" i="19"/>
  <c r="P48" i="19"/>
  <c r="K48" i="19"/>
  <c r="J48" i="19"/>
  <c r="U47" i="19"/>
  <c r="V47" i="19" s="1"/>
  <c r="N47" i="19"/>
  <c r="U46" i="19"/>
  <c r="V46" i="19" s="1"/>
  <c r="N46" i="19"/>
  <c r="U45" i="19"/>
  <c r="V45" i="19" s="1"/>
  <c r="N45" i="19"/>
  <c r="U44" i="19"/>
  <c r="N44" i="19"/>
  <c r="V44" i="19" s="1"/>
  <c r="U43" i="19"/>
  <c r="V43" i="19" s="1"/>
  <c r="N43" i="19"/>
  <c r="U42" i="19"/>
  <c r="V42" i="19" s="1"/>
  <c r="N42" i="19"/>
  <c r="U41" i="19"/>
  <c r="V41" i="19" s="1"/>
  <c r="N41" i="19"/>
  <c r="U40" i="19"/>
  <c r="N40" i="19"/>
  <c r="V40" i="19" s="1"/>
  <c r="U39" i="19"/>
  <c r="V39" i="19" s="1"/>
  <c r="N39" i="19"/>
  <c r="U38" i="19"/>
  <c r="V38" i="19" s="1"/>
  <c r="N38" i="19"/>
  <c r="U37" i="19"/>
  <c r="V37" i="19" s="1"/>
  <c r="N37" i="19"/>
  <c r="U36" i="19"/>
  <c r="N36" i="19"/>
  <c r="V36" i="19" s="1"/>
  <c r="U35" i="19"/>
  <c r="V35" i="19" s="1"/>
  <c r="N35" i="19"/>
  <c r="U34" i="19"/>
  <c r="V34" i="19" s="1"/>
  <c r="N34" i="19"/>
  <c r="U33" i="19"/>
  <c r="V33" i="19" s="1"/>
  <c r="N33" i="19"/>
  <c r="T32" i="19"/>
  <c r="S32" i="19"/>
  <c r="R32" i="19"/>
  <c r="Q32" i="19"/>
  <c r="P32" i="19"/>
  <c r="P19" i="19" s="1"/>
  <c r="N32" i="19"/>
  <c r="K32" i="19"/>
  <c r="J32" i="19"/>
  <c r="I32" i="19"/>
  <c r="H32" i="19"/>
  <c r="G32" i="19"/>
  <c r="F32" i="19"/>
  <c r="E32" i="19"/>
  <c r="D32" i="19"/>
  <c r="C32" i="19"/>
  <c r="C19" i="19" s="1"/>
  <c r="U31" i="19"/>
  <c r="N31" i="19"/>
  <c r="V31" i="19" s="1"/>
  <c r="V30" i="19"/>
  <c r="U30" i="19"/>
  <c r="N30" i="19"/>
  <c r="U29" i="19"/>
  <c r="N29" i="19"/>
  <c r="V29" i="19" s="1"/>
  <c r="U28" i="19"/>
  <c r="N28" i="19"/>
  <c r="V28" i="19" s="1"/>
  <c r="U27" i="19"/>
  <c r="N27" i="19"/>
  <c r="V27" i="19" s="1"/>
  <c r="V26" i="19"/>
  <c r="U26" i="19"/>
  <c r="N26" i="19"/>
  <c r="U25" i="19"/>
  <c r="N25" i="19"/>
  <c r="V25" i="19" s="1"/>
  <c r="U24" i="19"/>
  <c r="N24" i="19"/>
  <c r="V24" i="19" s="1"/>
  <c r="U23" i="19"/>
  <c r="U20" i="19" s="1"/>
  <c r="N23" i="19"/>
  <c r="V23" i="19" s="1"/>
  <c r="V22" i="19"/>
  <c r="U22" i="19"/>
  <c r="N22" i="19"/>
  <c r="U21" i="19"/>
  <c r="N21" i="19"/>
  <c r="N20" i="19" s="1"/>
  <c r="N19" i="19" s="1"/>
  <c r="T20" i="19"/>
  <c r="T19" i="19" s="1"/>
  <c r="S20" i="19"/>
  <c r="S19" i="19" s="1"/>
  <c r="R20" i="19"/>
  <c r="R19" i="19" s="1"/>
  <c r="Q20" i="19"/>
  <c r="Q19" i="19" s="1"/>
  <c r="P20" i="19"/>
  <c r="M20" i="19"/>
  <c r="L20" i="19"/>
  <c r="K20" i="19"/>
  <c r="J20" i="19"/>
  <c r="I20" i="19"/>
  <c r="H20" i="19"/>
  <c r="H19" i="19" s="1"/>
  <c r="G20" i="19"/>
  <c r="G19" i="19" s="1"/>
  <c r="F20" i="19"/>
  <c r="F19" i="19" s="1"/>
  <c r="E20" i="19"/>
  <c r="E19" i="19" s="1"/>
  <c r="D20" i="19"/>
  <c r="D19" i="19" s="1"/>
  <c r="C20" i="19"/>
  <c r="M19" i="19"/>
  <c r="L19" i="19"/>
  <c r="K19" i="19"/>
  <c r="J19" i="19"/>
  <c r="I19" i="19"/>
  <c r="S17" i="19"/>
  <c r="M17" i="19"/>
  <c r="L17" i="19"/>
  <c r="J17" i="19"/>
  <c r="I17" i="19"/>
  <c r="G17" i="19"/>
  <c r="F17" i="19"/>
  <c r="U16" i="19"/>
  <c r="N16" i="19"/>
  <c r="V16" i="19" s="1"/>
  <c r="U15" i="19"/>
  <c r="N15" i="19"/>
  <c r="N14" i="19" s="1"/>
  <c r="U14" i="19"/>
  <c r="T14" i="19"/>
  <c r="T17" i="19" s="1"/>
  <c r="S14" i="19"/>
  <c r="R14" i="19"/>
  <c r="Q14" i="19"/>
  <c r="P14" i="19"/>
  <c r="K14" i="19"/>
  <c r="J14" i="19"/>
  <c r="I14" i="19"/>
  <c r="H14" i="19"/>
  <c r="H17" i="19" s="1"/>
  <c r="G14" i="19"/>
  <c r="F14" i="19"/>
  <c r="E14" i="19"/>
  <c r="E17" i="19" s="1"/>
  <c r="D14" i="19"/>
  <c r="C14" i="19"/>
  <c r="U13" i="19"/>
  <c r="N13" i="19"/>
  <c r="V13" i="19" s="1"/>
  <c r="U12" i="19"/>
  <c r="N12" i="19"/>
  <c r="V12" i="19" s="1"/>
  <c r="U11" i="19"/>
  <c r="N11" i="19"/>
  <c r="N9" i="19" s="1"/>
  <c r="V10" i="19"/>
  <c r="U10" i="19"/>
  <c r="U9" i="19" s="1"/>
  <c r="U17" i="19" s="1"/>
  <c r="T10" i="19"/>
  <c r="N10" i="19"/>
  <c r="N49" i="19" s="1"/>
  <c r="T9" i="19"/>
  <c r="S9" i="19"/>
  <c r="R9" i="19"/>
  <c r="R17" i="19" s="1"/>
  <c r="Q9" i="19"/>
  <c r="Q17" i="19" s="1"/>
  <c r="Q103" i="19" s="1"/>
  <c r="P9" i="19"/>
  <c r="P17" i="19" s="1"/>
  <c r="K9" i="19"/>
  <c r="K17" i="19" s="1"/>
  <c r="J9" i="19"/>
  <c r="I9" i="19"/>
  <c r="H9" i="19"/>
  <c r="G9" i="19"/>
  <c r="F9" i="19"/>
  <c r="E9" i="19"/>
  <c r="D9" i="19"/>
  <c r="D17" i="19" s="1"/>
  <c r="C9" i="19"/>
  <c r="C17" i="19" s="1"/>
  <c r="E81" i="19" l="1"/>
  <c r="E50" i="19" s="1"/>
  <c r="E102" i="19" s="1"/>
  <c r="E103" i="19" s="1"/>
  <c r="P103" i="19"/>
  <c r="G50" i="19"/>
  <c r="G102" i="19" s="1"/>
  <c r="K81" i="19"/>
  <c r="J50" i="19"/>
  <c r="J102" i="19" s="1"/>
  <c r="J103" i="19" s="1"/>
  <c r="J104" i="19" s="1"/>
  <c r="I50" i="19"/>
  <c r="K50" i="19"/>
  <c r="K102" i="19" s="1"/>
  <c r="K103" i="19" s="1"/>
  <c r="K104" i="19" s="1"/>
  <c r="U111" i="19"/>
  <c r="V49" i="19"/>
  <c r="V48" i="19" s="1"/>
  <c r="N48" i="19"/>
  <c r="Q104" i="19"/>
  <c r="R102" i="19"/>
  <c r="V32" i="19"/>
  <c r="P104" i="19"/>
  <c r="S102" i="19"/>
  <c r="S103" i="19" s="1"/>
  <c r="V9" i="19"/>
  <c r="V17" i="19" s="1"/>
  <c r="U19" i="19"/>
  <c r="D102" i="19"/>
  <c r="C102" i="19"/>
  <c r="N17" i="19"/>
  <c r="T50" i="19"/>
  <c r="T102" i="19" s="1"/>
  <c r="T103" i="19" s="1"/>
  <c r="U81" i="19"/>
  <c r="U50" i="19" s="1"/>
  <c r="U102" i="19" s="1"/>
  <c r="C103" i="19"/>
  <c r="V51" i="19"/>
  <c r="G103" i="19"/>
  <c r="G104" i="19" s="1"/>
  <c r="F50" i="19"/>
  <c r="F102" i="19" s="1"/>
  <c r="H50" i="19"/>
  <c r="H102" i="19" s="1"/>
  <c r="R103" i="19"/>
  <c r="I102" i="19"/>
  <c r="V15" i="19"/>
  <c r="V14" i="19" s="1"/>
  <c r="N51" i="19"/>
  <c r="V64" i="19"/>
  <c r="V63" i="19" s="1"/>
  <c r="N95" i="19"/>
  <c r="N81" i="19" s="1"/>
  <c r="U32" i="19"/>
  <c r="V83" i="19"/>
  <c r="V82" i="19" s="1"/>
  <c r="V81" i="19" s="1"/>
  <c r="V11" i="19"/>
  <c r="V21" i="19"/>
  <c r="V20" i="19" s="1"/>
  <c r="V19" i="19" s="1"/>
  <c r="G101" i="18"/>
  <c r="G100" i="18" s="1"/>
  <c r="F101" i="18"/>
  <c r="F100" i="18" s="1"/>
  <c r="E100" i="18"/>
  <c r="C100" i="18"/>
  <c r="G99" i="18"/>
  <c r="C99" i="18"/>
  <c r="F98" i="18"/>
  <c r="H98" i="18" s="1"/>
  <c r="G97" i="18"/>
  <c r="C97" i="18"/>
  <c r="F97" i="18" s="1"/>
  <c r="E96" i="18"/>
  <c r="D96" i="18"/>
  <c r="C95" i="18"/>
  <c r="F95" i="18" s="1"/>
  <c r="F94" i="18"/>
  <c r="I94" i="18" s="1"/>
  <c r="F93" i="18"/>
  <c r="I93" i="18" s="1"/>
  <c r="G92" i="18"/>
  <c r="C92" i="18"/>
  <c r="F92" i="18" s="1"/>
  <c r="G91" i="18"/>
  <c r="C91" i="18"/>
  <c r="F91" i="18" s="1"/>
  <c r="G90" i="18"/>
  <c r="C90" i="18"/>
  <c r="F90" i="18" s="1"/>
  <c r="G89" i="18"/>
  <c r="C89" i="18"/>
  <c r="F89" i="18" s="1"/>
  <c r="G88" i="18"/>
  <c r="C88" i="18"/>
  <c r="F88" i="18" s="1"/>
  <c r="H88" i="18" s="1"/>
  <c r="G87" i="18"/>
  <c r="C87" i="18"/>
  <c r="F87" i="18" s="1"/>
  <c r="G86" i="18"/>
  <c r="C86" i="18"/>
  <c r="F86" i="18" s="1"/>
  <c r="G85" i="18"/>
  <c r="C85" i="18"/>
  <c r="F85" i="18" s="1"/>
  <c r="C84" i="18"/>
  <c r="E83" i="18"/>
  <c r="D83" i="18"/>
  <c r="I81" i="18"/>
  <c r="F81" i="18"/>
  <c r="H81" i="18" s="1"/>
  <c r="F80" i="18"/>
  <c r="H80" i="18" s="1"/>
  <c r="F79" i="18"/>
  <c r="I79" i="18" s="1"/>
  <c r="F78" i="18"/>
  <c r="I78" i="18" s="1"/>
  <c r="F77" i="18"/>
  <c r="I77" i="18" s="1"/>
  <c r="F76" i="18"/>
  <c r="H76" i="18" s="1"/>
  <c r="G75" i="18"/>
  <c r="C75" i="18"/>
  <c r="F75" i="18" s="1"/>
  <c r="G74" i="18"/>
  <c r="C74" i="18"/>
  <c r="F74" i="18" s="1"/>
  <c r="G73" i="18"/>
  <c r="C73" i="18"/>
  <c r="F73" i="18" s="1"/>
  <c r="G72" i="18"/>
  <c r="C72" i="18"/>
  <c r="F72" i="18" s="1"/>
  <c r="G71" i="18"/>
  <c r="C71" i="18"/>
  <c r="F71" i="18" s="1"/>
  <c r="G70" i="18"/>
  <c r="C70" i="18"/>
  <c r="F70" i="18" s="1"/>
  <c r="G69" i="18"/>
  <c r="C69" i="18"/>
  <c r="F69" i="18" s="1"/>
  <c r="G68" i="18"/>
  <c r="C68" i="18"/>
  <c r="F68" i="18" s="1"/>
  <c r="F67" i="18"/>
  <c r="I67" i="18" s="1"/>
  <c r="G66" i="18"/>
  <c r="C66" i="18"/>
  <c r="F66" i="18" s="1"/>
  <c r="G65" i="18"/>
  <c r="C65" i="18"/>
  <c r="F65" i="18" s="1"/>
  <c r="E64" i="18"/>
  <c r="D64" i="18"/>
  <c r="G63" i="18"/>
  <c r="C63" i="18"/>
  <c r="F63" i="18" s="1"/>
  <c r="G62" i="18"/>
  <c r="C62" i="18"/>
  <c r="F62" i="18" s="1"/>
  <c r="G61" i="18"/>
  <c r="C61" i="18"/>
  <c r="F61" i="18" s="1"/>
  <c r="G60" i="18"/>
  <c r="F60" i="18"/>
  <c r="G59" i="18"/>
  <c r="C59" i="18"/>
  <c r="F59" i="18" s="1"/>
  <c r="F58" i="18"/>
  <c r="G57" i="18"/>
  <c r="C57" i="18"/>
  <c r="F57" i="18" s="1"/>
  <c r="G56" i="18"/>
  <c r="C56" i="18"/>
  <c r="F56" i="18" s="1"/>
  <c r="G55" i="18"/>
  <c r="F55" i="18"/>
  <c r="G54" i="18"/>
  <c r="C54" i="18"/>
  <c r="F54" i="18" s="1"/>
  <c r="G53" i="18"/>
  <c r="F53" i="18"/>
  <c r="E52" i="18"/>
  <c r="D52" i="18"/>
  <c r="G50" i="18"/>
  <c r="E50" i="18"/>
  <c r="E49" i="18" s="1"/>
  <c r="D50" i="18"/>
  <c r="D49" i="18" s="1"/>
  <c r="C50" i="18"/>
  <c r="C49" i="18" s="1"/>
  <c r="H49" i="18"/>
  <c r="G48" i="18"/>
  <c r="H48" i="18" s="1"/>
  <c r="F48" i="18"/>
  <c r="G47" i="18"/>
  <c r="F47" i="18"/>
  <c r="G46" i="18"/>
  <c r="C46" i="18"/>
  <c r="F46" i="18" s="1"/>
  <c r="G45" i="18"/>
  <c r="C45" i="18"/>
  <c r="F45" i="18" s="1"/>
  <c r="G44" i="18"/>
  <c r="C44" i="18"/>
  <c r="F44" i="18" s="1"/>
  <c r="H44" i="18" s="1"/>
  <c r="G43" i="18"/>
  <c r="F43" i="18"/>
  <c r="G42" i="18"/>
  <c r="C42" i="18"/>
  <c r="F42" i="18" s="1"/>
  <c r="G41" i="18"/>
  <c r="C41" i="18"/>
  <c r="F41" i="18" s="1"/>
  <c r="F40" i="18"/>
  <c r="H40" i="18" s="1"/>
  <c r="G39" i="18"/>
  <c r="C39" i="18"/>
  <c r="F39" i="18" s="1"/>
  <c r="G38" i="18"/>
  <c r="C38" i="18"/>
  <c r="F38" i="18" s="1"/>
  <c r="G37" i="18"/>
  <c r="C37" i="18"/>
  <c r="F37" i="18" s="1"/>
  <c r="G36" i="18"/>
  <c r="F36" i="18"/>
  <c r="F35" i="18"/>
  <c r="H35" i="18" s="1"/>
  <c r="G34" i="18"/>
  <c r="C34" i="18"/>
  <c r="F34" i="18" s="1"/>
  <c r="E33" i="18"/>
  <c r="D33" i="18"/>
  <c r="G32" i="18"/>
  <c r="C32" i="18"/>
  <c r="F32" i="18" s="1"/>
  <c r="G31" i="18"/>
  <c r="C31" i="18"/>
  <c r="F31" i="18" s="1"/>
  <c r="G30" i="18"/>
  <c r="C30" i="18"/>
  <c r="F30" i="18" s="1"/>
  <c r="G29" i="18"/>
  <c r="F29" i="18"/>
  <c r="G28" i="18"/>
  <c r="C28" i="18"/>
  <c r="F28" i="18" s="1"/>
  <c r="F27" i="18"/>
  <c r="G27" i="18" s="1"/>
  <c r="G26" i="18"/>
  <c r="C26" i="18"/>
  <c r="F26" i="18" s="1"/>
  <c r="G25" i="18"/>
  <c r="C25" i="18"/>
  <c r="F25" i="18" s="1"/>
  <c r="G24" i="18"/>
  <c r="F24" i="18"/>
  <c r="G23" i="18"/>
  <c r="C23" i="18"/>
  <c r="G22" i="18"/>
  <c r="C22" i="18"/>
  <c r="F22" i="18" s="1"/>
  <c r="E21" i="18"/>
  <c r="D21" i="18"/>
  <c r="D20" i="18" s="1"/>
  <c r="F17" i="18"/>
  <c r="H17" i="18" s="1"/>
  <c r="F16" i="18"/>
  <c r="I16" i="18" s="1"/>
  <c r="G15" i="18"/>
  <c r="E15" i="18"/>
  <c r="D15" i="18"/>
  <c r="C15" i="18"/>
  <c r="F14" i="18"/>
  <c r="I14" i="18" s="1"/>
  <c r="F13" i="18"/>
  <c r="H13" i="18" s="1"/>
  <c r="F12" i="18"/>
  <c r="H12" i="18" s="1"/>
  <c r="F11" i="18"/>
  <c r="G10" i="18"/>
  <c r="E10" i="18"/>
  <c r="D10" i="18"/>
  <c r="D18" i="18" s="1"/>
  <c r="C10" i="18"/>
  <c r="D82" i="18" l="1"/>
  <c r="D51" i="18" s="1"/>
  <c r="D102" i="18" s="1"/>
  <c r="D103" i="18" s="1"/>
  <c r="C18" i="18"/>
  <c r="I80" i="18"/>
  <c r="H77" i="18"/>
  <c r="I60" i="18"/>
  <c r="F10" i="18"/>
  <c r="I40" i="18"/>
  <c r="I50" i="18"/>
  <c r="I76" i="18"/>
  <c r="F18" i="18"/>
  <c r="I12" i="18"/>
  <c r="G58" i="18"/>
  <c r="I58" i="18" s="1"/>
  <c r="F15" i="18"/>
  <c r="H47" i="18"/>
  <c r="F50" i="18"/>
  <c r="F49" i="18" s="1"/>
  <c r="E18" i="18"/>
  <c r="I36" i="18"/>
  <c r="I98" i="18"/>
  <c r="I10" i="18"/>
  <c r="I15" i="18"/>
  <c r="I24" i="18"/>
  <c r="H43" i="18"/>
  <c r="H11" i="18"/>
  <c r="H94" i="18"/>
  <c r="I11" i="18"/>
  <c r="I17" i="18"/>
  <c r="H100" i="18"/>
  <c r="E20" i="18"/>
  <c r="H90" i="18"/>
  <c r="I92" i="18"/>
  <c r="H87" i="18"/>
  <c r="H38" i="18"/>
  <c r="H72" i="18"/>
  <c r="H32" i="18"/>
  <c r="H69" i="18"/>
  <c r="I71" i="18"/>
  <c r="H71" i="18"/>
  <c r="H36" i="18"/>
  <c r="H31" i="18"/>
  <c r="H37" i="18"/>
  <c r="H60" i="18"/>
  <c r="I29" i="18"/>
  <c r="H25" i="18"/>
  <c r="I90" i="18"/>
  <c r="H26" i="18"/>
  <c r="G96" i="18"/>
  <c r="G83" i="18"/>
  <c r="H34" i="18"/>
  <c r="H74" i="18"/>
  <c r="H30" i="18"/>
  <c r="I48" i="18"/>
  <c r="U112" i="19"/>
  <c r="U113" i="19" s="1"/>
  <c r="U103" i="19"/>
  <c r="U104" i="19" s="1"/>
  <c r="I103" i="19"/>
  <c r="I104" i="19" s="1"/>
  <c r="F103" i="19"/>
  <c r="F104" i="19" s="1"/>
  <c r="S104" i="19"/>
  <c r="E104" i="19"/>
  <c r="R104" i="19"/>
  <c r="V50" i="19"/>
  <c r="V102" i="19" s="1"/>
  <c r="V103" i="19" s="1"/>
  <c r="D103" i="19"/>
  <c r="D104" i="19" s="1"/>
  <c r="T104" i="19"/>
  <c r="N50" i="19"/>
  <c r="N102" i="19" s="1"/>
  <c r="N103" i="19"/>
  <c r="H103" i="19"/>
  <c r="H104" i="19" s="1"/>
  <c r="C104" i="19"/>
  <c r="C52" i="18"/>
  <c r="H42" i="18"/>
  <c r="I63" i="18"/>
  <c r="I30" i="18"/>
  <c r="I54" i="18"/>
  <c r="C83" i="18"/>
  <c r="G64" i="18"/>
  <c r="H70" i="18"/>
  <c r="H75" i="18"/>
  <c r="H57" i="18"/>
  <c r="I69" i="18"/>
  <c r="I37" i="18"/>
  <c r="I87" i="18"/>
  <c r="I32" i="18"/>
  <c r="I34" i="18"/>
  <c r="I95" i="18"/>
  <c r="H95" i="18"/>
  <c r="I88" i="18"/>
  <c r="E82" i="18"/>
  <c r="E51" i="18" s="1"/>
  <c r="H54" i="18"/>
  <c r="H24" i="18"/>
  <c r="F84" i="18"/>
  <c r="I84" i="18" s="1"/>
  <c r="I55" i="18"/>
  <c r="H73" i="18"/>
  <c r="I89" i="18"/>
  <c r="H92" i="18"/>
  <c r="I42" i="18"/>
  <c r="I65" i="18"/>
  <c r="I38" i="18"/>
  <c r="I70" i="18"/>
  <c r="C96" i="18"/>
  <c r="C82" i="18" s="1"/>
  <c r="I47" i="18"/>
  <c r="H56" i="18"/>
  <c r="I26" i="18"/>
  <c r="I53" i="18"/>
  <c r="I56" i="18"/>
  <c r="H62" i="18"/>
  <c r="G21" i="18"/>
  <c r="I75" i="18"/>
  <c r="C21" i="18"/>
  <c r="H28" i="18"/>
  <c r="I44" i="18"/>
  <c r="C64" i="18"/>
  <c r="H91" i="18"/>
  <c r="I57" i="18"/>
  <c r="H63" i="18"/>
  <c r="I68" i="18"/>
  <c r="I73" i="18"/>
  <c r="I97" i="18"/>
  <c r="H45" i="18"/>
  <c r="I45" i="18"/>
  <c r="I46" i="18"/>
  <c r="H46" i="18"/>
  <c r="H59" i="18"/>
  <c r="I59" i="18"/>
  <c r="I72" i="18"/>
  <c r="H97" i="18"/>
  <c r="I25" i="18"/>
  <c r="F64" i="18"/>
  <c r="I86" i="18"/>
  <c r="H86" i="18"/>
  <c r="I41" i="18"/>
  <c r="H41" i="18"/>
  <c r="I100" i="18"/>
  <c r="H85" i="18"/>
  <c r="I85" i="18"/>
  <c r="F33" i="18"/>
  <c r="I61" i="18"/>
  <c r="H61" i="18"/>
  <c r="I74" i="18"/>
  <c r="I28" i="18"/>
  <c r="I91" i="18"/>
  <c r="H66" i="18"/>
  <c r="I66" i="18"/>
  <c r="H22" i="18"/>
  <c r="I22" i="18"/>
  <c r="I31" i="18"/>
  <c r="I39" i="18"/>
  <c r="H39" i="18"/>
  <c r="I27" i="18"/>
  <c r="H27" i="18"/>
  <c r="I62" i="18"/>
  <c r="C33" i="18"/>
  <c r="F23" i="18"/>
  <c r="F21" i="18" s="1"/>
  <c r="I35" i="18"/>
  <c r="I43" i="18"/>
  <c r="H67" i="18"/>
  <c r="F99" i="18"/>
  <c r="H101" i="18"/>
  <c r="I13" i="18"/>
  <c r="G18" i="18"/>
  <c r="H78" i="18"/>
  <c r="I101" i="18"/>
  <c r="G33" i="18"/>
  <c r="H55" i="18"/>
  <c r="H93" i="18"/>
  <c r="H14" i="18"/>
  <c r="F52" i="18"/>
  <c r="H16" i="18"/>
  <c r="H15" i="18" s="1"/>
  <c r="G49" i="18"/>
  <c r="H65" i="18"/>
  <c r="H79" i="18"/>
  <c r="H29" i="18"/>
  <c r="H53" i="18"/>
  <c r="H68" i="18"/>
  <c r="H89" i="18"/>
  <c r="P49" i="16"/>
  <c r="N104" i="19" l="1"/>
  <c r="H58" i="18"/>
  <c r="H10" i="18"/>
  <c r="G52" i="18"/>
  <c r="E102" i="18"/>
  <c r="E103" i="18" s="1"/>
  <c r="I49" i="18"/>
  <c r="G82" i="18"/>
  <c r="G51" i="18" s="1"/>
  <c r="C51" i="18"/>
  <c r="C102" i="18" s="1"/>
  <c r="I64" i="18"/>
  <c r="C20" i="18"/>
  <c r="V104" i="19"/>
  <c r="F83" i="18"/>
  <c r="I83" i="18" s="1"/>
  <c r="F20" i="18"/>
  <c r="H84" i="18"/>
  <c r="H83" i="18" s="1"/>
  <c r="I33" i="18"/>
  <c r="H33" i="18"/>
  <c r="H18" i="18"/>
  <c r="I52" i="18"/>
  <c r="H23" i="18"/>
  <c r="H21" i="18" s="1"/>
  <c r="I23" i="18"/>
  <c r="I99" i="18"/>
  <c r="H99" i="18"/>
  <c r="D104" i="18"/>
  <c r="D105" i="18" s="1"/>
  <c r="H52" i="18"/>
  <c r="E104" i="18"/>
  <c r="E105" i="18" s="1"/>
  <c r="H64" i="18"/>
  <c r="I18" i="18"/>
  <c r="I21" i="18"/>
  <c r="F96" i="18"/>
  <c r="G20" i="18"/>
  <c r="U110" i="17"/>
  <c r="U109" i="17"/>
  <c r="U108" i="17"/>
  <c r="T99" i="17"/>
  <c r="S99" i="17"/>
  <c r="R99" i="17"/>
  <c r="Q99" i="17"/>
  <c r="P99" i="17"/>
  <c r="K99" i="17"/>
  <c r="J99" i="17"/>
  <c r="J81" i="17" s="1"/>
  <c r="J50" i="17" s="1"/>
  <c r="J102" i="17" s="1"/>
  <c r="I99" i="17"/>
  <c r="H99" i="17"/>
  <c r="G99" i="17"/>
  <c r="F99" i="17"/>
  <c r="E99" i="17"/>
  <c r="D99" i="17"/>
  <c r="C99" i="17"/>
  <c r="U98" i="17"/>
  <c r="N98" i="17"/>
  <c r="V98" i="17" s="1"/>
  <c r="U97" i="17"/>
  <c r="V97" i="17" s="1"/>
  <c r="N97" i="17"/>
  <c r="U96" i="17"/>
  <c r="U95" i="17" s="1"/>
  <c r="N96" i="17"/>
  <c r="V96" i="17" s="1"/>
  <c r="V95" i="17" s="1"/>
  <c r="T95" i="17"/>
  <c r="S95" i="17"/>
  <c r="R95" i="17"/>
  <c r="Q95" i="17"/>
  <c r="P95" i="17"/>
  <c r="N95" i="17"/>
  <c r="K95" i="17"/>
  <c r="K81" i="17" s="1"/>
  <c r="K50" i="17" s="1"/>
  <c r="J95" i="17"/>
  <c r="I95" i="17"/>
  <c r="H95" i="17"/>
  <c r="G95" i="17"/>
  <c r="F95" i="17"/>
  <c r="E95" i="17"/>
  <c r="D95" i="17"/>
  <c r="C95" i="17"/>
  <c r="U94" i="17"/>
  <c r="N94" i="17"/>
  <c r="V94" i="17" s="1"/>
  <c r="V93" i="17"/>
  <c r="U93" i="17"/>
  <c r="N93" i="17"/>
  <c r="V92" i="17"/>
  <c r="U92" i="17"/>
  <c r="N92" i="17"/>
  <c r="U91" i="17"/>
  <c r="N91" i="17"/>
  <c r="V91" i="17" s="1"/>
  <c r="U90" i="17"/>
  <c r="N90" i="17"/>
  <c r="V90" i="17" s="1"/>
  <c r="V89" i="17"/>
  <c r="U89" i="17"/>
  <c r="N89" i="17"/>
  <c r="V88" i="17"/>
  <c r="U88" i="17"/>
  <c r="N88" i="17"/>
  <c r="U87" i="17"/>
  <c r="N87" i="17"/>
  <c r="V87" i="17" s="1"/>
  <c r="U86" i="17"/>
  <c r="N86" i="17"/>
  <c r="N82" i="17" s="1"/>
  <c r="N81" i="17" s="1"/>
  <c r="V85" i="17"/>
  <c r="U85" i="17"/>
  <c r="N85" i="17"/>
  <c r="V84" i="17"/>
  <c r="U84" i="17"/>
  <c r="N84" i="17"/>
  <c r="U83" i="17"/>
  <c r="N83" i="17"/>
  <c r="V83" i="17" s="1"/>
  <c r="U82" i="17"/>
  <c r="T82" i="17"/>
  <c r="T81" i="17" s="1"/>
  <c r="S82" i="17"/>
  <c r="S81" i="17" s="1"/>
  <c r="S50" i="17" s="1"/>
  <c r="R82" i="17"/>
  <c r="Q82" i="17"/>
  <c r="Q81" i="17" s="1"/>
  <c r="Q50" i="17" s="1"/>
  <c r="P82" i="17"/>
  <c r="P81" i="17" s="1"/>
  <c r="P50" i="17" s="1"/>
  <c r="K82" i="17"/>
  <c r="J82" i="17"/>
  <c r="I82" i="17"/>
  <c r="H82" i="17"/>
  <c r="G82" i="17"/>
  <c r="F82" i="17"/>
  <c r="F81" i="17" s="1"/>
  <c r="E82" i="17"/>
  <c r="E81" i="17" s="1"/>
  <c r="D82" i="17"/>
  <c r="D81" i="17" s="1"/>
  <c r="C82" i="17"/>
  <c r="R81" i="17"/>
  <c r="I81" i="17"/>
  <c r="I50" i="17" s="1"/>
  <c r="H81" i="17"/>
  <c r="H50" i="17" s="1"/>
  <c r="G81" i="17"/>
  <c r="G50" i="17" s="1"/>
  <c r="G102" i="17" s="1"/>
  <c r="C81" i="17"/>
  <c r="U80" i="17"/>
  <c r="N80" i="17"/>
  <c r="V80" i="17" s="1"/>
  <c r="U79" i="17"/>
  <c r="N79" i="17"/>
  <c r="V79" i="17" s="1"/>
  <c r="U78" i="17"/>
  <c r="V78" i="17" s="1"/>
  <c r="N78" i="17"/>
  <c r="U77" i="17"/>
  <c r="N77" i="17"/>
  <c r="V77" i="17" s="1"/>
  <c r="U76" i="17"/>
  <c r="N76" i="17"/>
  <c r="V76" i="17" s="1"/>
  <c r="U75" i="17"/>
  <c r="N75" i="17"/>
  <c r="V75" i="17" s="1"/>
  <c r="U74" i="17"/>
  <c r="V74" i="17" s="1"/>
  <c r="N74" i="17"/>
  <c r="U73" i="17"/>
  <c r="N73" i="17"/>
  <c r="V73" i="17" s="1"/>
  <c r="U72" i="17"/>
  <c r="N72" i="17"/>
  <c r="V72" i="17" s="1"/>
  <c r="U71" i="17"/>
  <c r="N71" i="17"/>
  <c r="V71" i="17" s="1"/>
  <c r="U70" i="17"/>
  <c r="V70" i="17" s="1"/>
  <c r="N70" i="17"/>
  <c r="U69" i="17"/>
  <c r="N69" i="17"/>
  <c r="V69" i="17" s="1"/>
  <c r="U68" i="17"/>
  <c r="N68" i="17"/>
  <c r="V68" i="17" s="1"/>
  <c r="U67" i="17"/>
  <c r="N67" i="17"/>
  <c r="V67" i="17" s="1"/>
  <c r="U66" i="17"/>
  <c r="V66" i="17" s="1"/>
  <c r="N66" i="17"/>
  <c r="U65" i="17"/>
  <c r="U63" i="17" s="1"/>
  <c r="N65" i="17"/>
  <c r="V65" i="17" s="1"/>
  <c r="U64" i="17"/>
  <c r="N64" i="17"/>
  <c r="V64" i="17" s="1"/>
  <c r="T63" i="17"/>
  <c r="S63" i="17"/>
  <c r="R63" i="17"/>
  <c r="Q63" i="17"/>
  <c r="P63" i="17"/>
  <c r="K63" i="17"/>
  <c r="J63" i="17"/>
  <c r="I63" i="17"/>
  <c r="H63" i="17"/>
  <c r="G63" i="17"/>
  <c r="F63" i="17"/>
  <c r="E63" i="17"/>
  <c r="D63" i="17"/>
  <c r="C63" i="17"/>
  <c r="V62" i="17"/>
  <c r="U62" i="17"/>
  <c r="N62" i="17"/>
  <c r="V61" i="17"/>
  <c r="U61" i="17"/>
  <c r="N61" i="17"/>
  <c r="U60" i="17"/>
  <c r="N60" i="17"/>
  <c r="V60" i="17" s="1"/>
  <c r="U59" i="17"/>
  <c r="N59" i="17"/>
  <c r="V59" i="17" s="1"/>
  <c r="V58" i="17"/>
  <c r="U58" i="17"/>
  <c r="N58" i="17"/>
  <c r="V57" i="17"/>
  <c r="U57" i="17"/>
  <c r="N57" i="17"/>
  <c r="U56" i="17"/>
  <c r="N56" i="17"/>
  <c r="V56" i="17" s="1"/>
  <c r="U55" i="17"/>
  <c r="N55" i="17"/>
  <c r="N51" i="17" s="1"/>
  <c r="V54" i="17"/>
  <c r="U54" i="17"/>
  <c r="N54" i="17"/>
  <c r="V53" i="17"/>
  <c r="U53" i="17"/>
  <c r="U51" i="17" s="1"/>
  <c r="N53" i="17"/>
  <c r="U52" i="17"/>
  <c r="N52" i="17"/>
  <c r="V52" i="17" s="1"/>
  <c r="T51" i="17"/>
  <c r="S51" i="17"/>
  <c r="R51" i="17"/>
  <c r="R50" i="17" s="1"/>
  <c r="R102" i="17" s="1"/>
  <c r="Q51" i="17"/>
  <c r="P51" i="17"/>
  <c r="K51" i="17"/>
  <c r="J51" i="17"/>
  <c r="I51" i="17"/>
  <c r="H51" i="17"/>
  <c r="G51" i="17"/>
  <c r="F51" i="17"/>
  <c r="E51" i="17"/>
  <c r="D51" i="17"/>
  <c r="C51" i="17"/>
  <c r="C50" i="17" s="1"/>
  <c r="C102" i="17" s="1"/>
  <c r="T49" i="17"/>
  <c r="T48" i="17" s="1"/>
  <c r="S49" i="17"/>
  <c r="S48" i="17" s="1"/>
  <c r="R49" i="17"/>
  <c r="Q49" i="17"/>
  <c r="Q48" i="17" s="1"/>
  <c r="P49" i="17"/>
  <c r="P48" i="17" s="1"/>
  <c r="K49" i="17"/>
  <c r="J49" i="17"/>
  <c r="I49" i="17"/>
  <c r="H49" i="17"/>
  <c r="G49" i="17"/>
  <c r="F49" i="17"/>
  <c r="E49" i="17"/>
  <c r="E48" i="17" s="1"/>
  <c r="D49" i="17"/>
  <c r="D48" i="17" s="1"/>
  <c r="C49" i="17"/>
  <c r="R48" i="17"/>
  <c r="K48" i="17"/>
  <c r="J48" i="17"/>
  <c r="I48" i="17"/>
  <c r="H48" i="17"/>
  <c r="G48" i="17"/>
  <c r="F48" i="17"/>
  <c r="C48" i="17"/>
  <c r="V47" i="17"/>
  <c r="U47" i="17"/>
  <c r="N47" i="17"/>
  <c r="U46" i="17"/>
  <c r="N46" i="17"/>
  <c r="V46" i="17" s="1"/>
  <c r="U45" i="17"/>
  <c r="N45" i="17"/>
  <c r="V45" i="17" s="1"/>
  <c r="U44" i="17"/>
  <c r="N44" i="17"/>
  <c r="V44" i="17" s="1"/>
  <c r="V43" i="17"/>
  <c r="U43" i="17"/>
  <c r="N43" i="17"/>
  <c r="U42" i="17"/>
  <c r="N42" i="17"/>
  <c r="V42" i="17" s="1"/>
  <c r="U41" i="17"/>
  <c r="N41" i="17"/>
  <c r="V41" i="17" s="1"/>
  <c r="U40" i="17"/>
  <c r="N40" i="17"/>
  <c r="V40" i="17" s="1"/>
  <c r="V39" i="17"/>
  <c r="U39" i="17"/>
  <c r="N39" i="17"/>
  <c r="U38" i="17"/>
  <c r="N38" i="17"/>
  <c r="V38" i="17" s="1"/>
  <c r="U37" i="17"/>
  <c r="N37" i="17"/>
  <c r="V37" i="17" s="1"/>
  <c r="U36" i="17"/>
  <c r="N36" i="17"/>
  <c r="V36" i="17" s="1"/>
  <c r="V35" i="17"/>
  <c r="U35" i="17"/>
  <c r="N35" i="17"/>
  <c r="U34" i="17"/>
  <c r="N34" i="17"/>
  <c r="V34" i="17" s="1"/>
  <c r="U33" i="17"/>
  <c r="U32" i="17" s="1"/>
  <c r="N33" i="17"/>
  <c r="N32" i="17" s="1"/>
  <c r="T32" i="17"/>
  <c r="S32" i="17"/>
  <c r="R32" i="17"/>
  <c r="Q32" i="17"/>
  <c r="P32" i="17"/>
  <c r="K32" i="17"/>
  <c r="K19" i="17" s="1"/>
  <c r="J32" i="17"/>
  <c r="I32" i="17"/>
  <c r="H32" i="17"/>
  <c r="G32" i="17"/>
  <c r="F32" i="17"/>
  <c r="E32" i="17"/>
  <c r="D32" i="17"/>
  <c r="D19" i="17" s="1"/>
  <c r="C32" i="17"/>
  <c r="U31" i="17"/>
  <c r="V31" i="17" s="1"/>
  <c r="N31" i="17"/>
  <c r="U30" i="17"/>
  <c r="N30" i="17"/>
  <c r="V30" i="17" s="1"/>
  <c r="U29" i="17"/>
  <c r="V29" i="17" s="1"/>
  <c r="N29" i="17"/>
  <c r="U28" i="17"/>
  <c r="V28" i="17" s="1"/>
  <c r="N28" i="17"/>
  <c r="U27" i="17"/>
  <c r="N27" i="17"/>
  <c r="U26" i="17"/>
  <c r="N26" i="17"/>
  <c r="V25" i="17"/>
  <c r="U25" i="17"/>
  <c r="N25" i="17"/>
  <c r="V24" i="17"/>
  <c r="U24" i="17"/>
  <c r="N24" i="17"/>
  <c r="U23" i="17"/>
  <c r="N23" i="17"/>
  <c r="V23" i="17" s="1"/>
  <c r="U22" i="17"/>
  <c r="N22" i="17"/>
  <c r="V22" i="17" s="1"/>
  <c r="V21" i="17"/>
  <c r="U21" i="17"/>
  <c r="N21" i="17"/>
  <c r="T20" i="17"/>
  <c r="T19" i="17" s="1"/>
  <c r="S20" i="17"/>
  <c r="R20" i="17"/>
  <c r="Q20" i="17"/>
  <c r="P20" i="17"/>
  <c r="M20" i="17"/>
  <c r="M19" i="17" s="1"/>
  <c r="L20" i="17"/>
  <c r="L19" i="17" s="1"/>
  <c r="K20" i="17"/>
  <c r="J20" i="17"/>
  <c r="J19" i="17" s="1"/>
  <c r="I20" i="17"/>
  <c r="I19" i="17" s="1"/>
  <c r="H20" i="17"/>
  <c r="H19" i="17" s="1"/>
  <c r="G20" i="17"/>
  <c r="F20" i="17"/>
  <c r="E20" i="17"/>
  <c r="D20" i="17"/>
  <c r="C20" i="17"/>
  <c r="S19" i="17"/>
  <c r="R19" i="17"/>
  <c r="Q19" i="17"/>
  <c r="P19" i="17"/>
  <c r="G19" i="17"/>
  <c r="F19" i="17"/>
  <c r="E19" i="17"/>
  <c r="C19" i="17"/>
  <c r="M17" i="17"/>
  <c r="L17" i="17"/>
  <c r="J17" i="17"/>
  <c r="I17" i="17"/>
  <c r="F17" i="17"/>
  <c r="E17" i="17"/>
  <c r="U16" i="17"/>
  <c r="N16" i="17"/>
  <c r="V16" i="17" s="1"/>
  <c r="U15" i="17"/>
  <c r="U14" i="17" s="1"/>
  <c r="N15" i="17"/>
  <c r="N14" i="17" s="1"/>
  <c r="T14" i="17"/>
  <c r="S14" i="17"/>
  <c r="R14" i="17"/>
  <c r="Q14" i="17"/>
  <c r="P14" i="17"/>
  <c r="K14" i="17"/>
  <c r="J14" i="17"/>
  <c r="I14" i="17"/>
  <c r="H14" i="17"/>
  <c r="G14" i="17"/>
  <c r="F14" i="17"/>
  <c r="E14" i="17"/>
  <c r="D14" i="17"/>
  <c r="C14" i="17"/>
  <c r="U13" i="17"/>
  <c r="N13" i="17"/>
  <c r="V13" i="17" s="1"/>
  <c r="U12" i="17"/>
  <c r="N12" i="17"/>
  <c r="V12" i="17" s="1"/>
  <c r="U11" i="17"/>
  <c r="V11" i="17" s="1"/>
  <c r="N11" i="17"/>
  <c r="U10" i="17"/>
  <c r="U9" i="17" s="1"/>
  <c r="N10" i="17"/>
  <c r="N49" i="17" s="1"/>
  <c r="T9" i="17"/>
  <c r="T17" i="17" s="1"/>
  <c r="S9" i="17"/>
  <c r="R9" i="17"/>
  <c r="R17" i="17" s="1"/>
  <c r="Q9" i="17"/>
  <c r="Q17" i="17" s="1"/>
  <c r="P9" i="17"/>
  <c r="P17" i="17" s="1"/>
  <c r="N9" i="17"/>
  <c r="K9" i="17"/>
  <c r="K17" i="17" s="1"/>
  <c r="J9" i="17"/>
  <c r="I9" i="17"/>
  <c r="H9" i="17"/>
  <c r="H17" i="17" s="1"/>
  <c r="G9" i="17"/>
  <c r="G17" i="17" s="1"/>
  <c r="G103" i="17" s="1"/>
  <c r="F9" i="17"/>
  <c r="E9" i="17"/>
  <c r="D9" i="17"/>
  <c r="D17" i="17" s="1"/>
  <c r="C9" i="17"/>
  <c r="C17" i="17" s="1"/>
  <c r="U110" i="16"/>
  <c r="U109" i="16"/>
  <c r="U108" i="16"/>
  <c r="T99" i="16"/>
  <c r="S99" i="16"/>
  <c r="R99" i="16"/>
  <c r="Q99" i="16"/>
  <c r="P99" i="16"/>
  <c r="K99" i="16"/>
  <c r="J99" i="16"/>
  <c r="I99" i="16"/>
  <c r="H99" i="16"/>
  <c r="G99" i="16"/>
  <c r="F99" i="16"/>
  <c r="E99" i="16"/>
  <c r="D99" i="16"/>
  <c r="C99" i="16"/>
  <c r="V98" i="16"/>
  <c r="U98" i="16"/>
  <c r="N98" i="16"/>
  <c r="U97" i="16"/>
  <c r="V97" i="16" s="1"/>
  <c r="N97" i="16"/>
  <c r="V96" i="16"/>
  <c r="V95" i="16" s="1"/>
  <c r="U96" i="16"/>
  <c r="N96" i="16"/>
  <c r="T95" i="16"/>
  <c r="S95" i="16"/>
  <c r="S81" i="16" s="1"/>
  <c r="S50" i="16" s="1"/>
  <c r="S102" i="16" s="1"/>
  <c r="R95" i="16"/>
  <c r="Q95" i="16"/>
  <c r="P95" i="16"/>
  <c r="N95" i="16"/>
  <c r="K95" i="16"/>
  <c r="J95" i="16"/>
  <c r="I95" i="16"/>
  <c r="H95" i="16"/>
  <c r="G95" i="16"/>
  <c r="F95" i="16"/>
  <c r="E95" i="16"/>
  <c r="D95" i="16"/>
  <c r="D81" i="16" s="1"/>
  <c r="D50" i="16" s="1"/>
  <c r="C95" i="16"/>
  <c r="U94" i="16"/>
  <c r="N94" i="16"/>
  <c r="V94" i="16" s="1"/>
  <c r="U93" i="16"/>
  <c r="V93" i="16" s="1"/>
  <c r="N93" i="16"/>
  <c r="U92" i="16"/>
  <c r="N92" i="16"/>
  <c r="V92" i="16" s="1"/>
  <c r="U91" i="16"/>
  <c r="N91" i="16"/>
  <c r="V91" i="16" s="1"/>
  <c r="U90" i="16"/>
  <c r="N90" i="16"/>
  <c r="V90" i="16" s="1"/>
  <c r="U89" i="16"/>
  <c r="N89" i="16"/>
  <c r="V89" i="16" s="1"/>
  <c r="U88" i="16"/>
  <c r="N88" i="16"/>
  <c r="V88" i="16" s="1"/>
  <c r="U87" i="16"/>
  <c r="N87" i="16"/>
  <c r="V87" i="16" s="1"/>
  <c r="U86" i="16"/>
  <c r="N86" i="16"/>
  <c r="V86" i="16" s="1"/>
  <c r="U85" i="16"/>
  <c r="N85" i="16"/>
  <c r="V85" i="16" s="1"/>
  <c r="U84" i="16"/>
  <c r="N84" i="16"/>
  <c r="V84" i="16" s="1"/>
  <c r="U83" i="16"/>
  <c r="U82" i="16" s="1"/>
  <c r="N83" i="16"/>
  <c r="N82" i="16" s="1"/>
  <c r="N81" i="16" s="1"/>
  <c r="T82" i="16"/>
  <c r="T81" i="16" s="1"/>
  <c r="T50" i="16" s="1"/>
  <c r="S82" i="16"/>
  <c r="R82" i="16"/>
  <c r="R81" i="16" s="1"/>
  <c r="R50" i="16" s="1"/>
  <c r="R102" i="16" s="1"/>
  <c r="Q82" i="16"/>
  <c r="P82" i="16"/>
  <c r="K82" i="16"/>
  <c r="J82" i="16"/>
  <c r="I82" i="16"/>
  <c r="I81" i="16" s="1"/>
  <c r="H82" i="16"/>
  <c r="G82" i="16"/>
  <c r="G81" i="16" s="1"/>
  <c r="G50" i="16" s="1"/>
  <c r="G102" i="16" s="1"/>
  <c r="F82" i="16"/>
  <c r="F81" i="16" s="1"/>
  <c r="E82" i="16"/>
  <c r="E81" i="16" s="1"/>
  <c r="E50" i="16" s="1"/>
  <c r="E102" i="16" s="1"/>
  <c r="D82" i="16"/>
  <c r="C82" i="16"/>
  <c r="C81" i="16" s="1"/>
  <c r="C50" i="16" s="1"/>
  <c r="C102" i="16" s="1"/>
  <c r="Q81" i="16"/>
  <c r="Q50" i="16" s="1"/>
  <c r="Q102" i="16" s="1"/>
  <c r="P81" i="16"/>
  <c r="K81" i="16"/>
  <c r="J81" i="16"/>
  <c r="H81" i="16"/>
  <c r="V80" i="16"/>
  <c r="U80" i="16"/>
  <c r="N80" i="16"/>
  <c r="U79" i="16"/>
  <c r="V79" i="16" s="1"/>
  <c r="N79" i="16"/>
  <c r="V78" i="16"/>
  <c r="U78" i="16"/>
  <c r="N78" i="16"/>
  <c r="V77" i="16"/>
  <c r="U77" i="16"/>
  <c r="N77" i="16"/>
  <c r="V76" i="16"/>
  <c r="U76" i="16"/>
  <c r="N76" i="16"/>
  <c r="U75" i="16"/>
  <c r="V75" i="16" s="1"/>
  <c r="N75" i="16"/>
  <c r="V74" i="16"/>
  <c r="U74" i="16"/>
  <c r="N74" i="16"/>
  <c r="V73" i="16"/>
  <c r="U73" i="16"/>
  <c r="N73" i="16"/>
  <c r="V72" i="16"/>
  <c r="U72" i="16"/>
  <c r="N72" i="16"/>
  <c r="U71" i="16"/>
  <c r="V71" i="16" s="1"/>
  <c r="N71" i="16"/>
  <c r="V70" i="16"/>
  <c r="U70" i="16"/>
  <c r="N70" i="16"/>
  <c r="V69" i="16"/>
  <c r="U69" i="16"/>
  <c r="N69" i="16"/>
  <c r="V68" i="16"/>
  <c r="U68" i="16"/>
  <c r="N68" i="16"/>
  <c r="U67" i="16"/>
  <c r="V67" i="16" s="1"/>
  <c r="N67" i="16"/>
  <c r="V66" i="16"/>
  <c r="U66" i="16"/>
  <c r="N66" i="16"/>
  <c r="U65" i="16"/>
  <c r="N65" i="16"/>
  <c r="V65" i="16" s="1"/>
  <c r="V64" i="16"/>
  <c r="U64" i="16"/>
  <c r="N64" i="16"/>
  <c r="U63" i="16"/>
  <c r="T63" i="16"/>
  <c r="S63" i="16"/>
  <c r="R63" i="16"/>
  <c r="Q63" i="16"/>
  <c r="P63" i="16"/>
  <c r="N63" i="16"/>
  <c r="K63" i="16"/>
  <c r="J63" i="16"/>
  <c r="J50" i="16" s="1"/>
  <c r="J102" i="16" s="1"/>
  <c r="I63" i="16"/>
  <c r="H63" i="16"/>
  <c r="G63" i="16"/>
  <c r="F63" i="16"/>
  <c r="E63" i="16"/>
  <c r="D63" i="16"/>
  <c r="C63" i="16"/>
  <c r="U62" i="16"/>
  <c r="N62" i="16"/>
  <c r="V62" i="16" s="1"/>
  <c r="U61" i="16"/>
  <c r="N61" i="16"/>
  <c r="V61" i="16" s="1"/>
  <c r="U60" i="16"/>
  <c r="N60" i="16"/>
  <c r="V60" i="16" s="1"/>
  <c r="U59" i="16"/>
  <c r="N59" i="16"/>
  <c r="V59" i="16" s="1"/>
  <c r="U58" i="16"/>
  <c r="N58" i="16"/>
  <c r="V58" i="16" s="1"/>
  <c r="U57" i="16"/>
  <c r="N57" i="16"/>
  <c r="V57" i="16" s="1"/>
  <c r="U56" i="16"/>
  <c r="N56" i="16"/>
  <c r="V56" i="16" s="1"/>
  <c r="U55" i="16"/>
  <c r="N55" i="16"/>
  <c r="V55" i="16" s="1"/>
  <c r="U54" i="16"/>
  <c r="N54" i="16"/>
  <c r="V54" i="16" s="1"/>
  <c r="U53" i="16"/>
  <c r="U51" i="16" s="1"/>
  <c r="N53" i="16"/>
  <c r="V53" i="16" s="1"/>
  <c r="U52" i="16"/>
  <c r="N52" i="16"/>
  <c r="V52" i="16" s="1"/>
  <c r="T51" i="16"/>
  <c r="S51" i="16"/>
  <c r="R51" i="16"/>
  <c r="Q51" i="16"/>
  <c r="P51" i="16"/>
  <c r="N51" i="16"/>
  <c r="K51" i="16"/>
  <c r="J51" i="16"/>
  <c r="I51" i="16"/>
  <c r="H51" i="16"/>
  <c r="H50" i="16" s="1"/>
  <c r="H102" i="16" s="1"/>
  <c r="G51" i="16"/>
  <c r="F51" i="16"/>
  <c r="E51" i="16"/>
  <c r="D51" i="16"/>
  <c r="C51" i="16"/>
  <c r="P50" i="16"/>
  <c r="P102" i="16" s="1"/>
  <c r="K50" i="16"/>
  <c r="K102" i="16" s="1"/>
  <c r="S49" i="16"/>
  <c r="S48" i="16" s="1"/>
  <c r="R49" i="16"/>
  <c r="Q49" i="16"/>
  <c r="K49" i="16"/>
  <c r="J49" i="16"/>
  <c r="J48" i="16" s="1"/>
  <c r="I49" i="16"/>
  <c r="H49" i="16"/>
  <c r="G49" i="16"/>
  <c r="F49" i="16"/>
  <c r="E49" i="16"/>
  <c r="D49" i="16"/>
  <c r="D48" i="16" s="1"/>
  <c r="C49" i="16"/>
  <c r="R48" i="16"/>
  <c r="Q48" i="16"/>
  <c r="P48" i="16"/>
  <c r="K48" i="16"/>
  <c r="I48" i="16"/>
  <c r="H48" i="16"/>
  <c r="G48" i="16"/>
  <c r="F48" i="16"/>
  <c r="E48" i="16"/>
  <c r="C48" i="16"/>
  <c r="U47" i="16"/>
  <c r="N47" i="16"/>
  <c r="V47" i="16" s="1"/>
  <c r="U46" i="16"/>
  <c r="N46" i="16"/>
  <c r="V46" i="16" s="1"/>
  <c r="U45" i="16"/>
  <c r="N45" i="16"/>
  <c r="V45" i="16" s="1"/>
  <c r="U44" i="16"/>
  <c r="N44" i="16"/>
  <c r="V44" i="16" s="1"/>
  <c r="U43" i="16"/>
  <c r="N43" i="16"/>
  <c r="V43" i="16" s="1"/>
  <c r="U42" i="16"/>
  <c r="N42" i="16"/>
  <c r="V42" i="16" s="1"/>
  <c r="U41" i="16"/>
  <c r="N41" i="16"/>
  <c r="V41" i="16" s="1"/>
  <c r="U40" i="16"/>
  <c r="N40" i="16"/>
  <c r="V40" i="16" s="1"/>
  <c r="U39" i="16"/>
  <c r="N39" i="16"/>
  <c r="V39" i="16" s="1"/>
  <c r="U38" i="16"/>
  <c r="N38" i="16"/>
  <c r="V38" i="16" s="1"/>
  <c r="U37" i="16"/>
  <c r="N37" i="16"/>
  <c r="V37" i="16" s="1"/>
  <c r="U36" i="16"/>
  <c r="N36" i="16"/>
  <c r="N32" i="16" s="1"/>
  <c r="U35" i="16"/>
  <c r="N35" i="16"/>
  <c r="V35" i="16" s="1"/>
  <c r="U34" i="16"/>
  <c r="N34" i="16"/>
  <c r="V34" i="16" s="1"/>
  <c r="U33" i="16"/>
  <c r="N33" i="16"/>
  <c r="V33" i="16" s="1"/>
  <c r="U32" i="16"/>
  <c r="T32" i="16"/>
  <c r="T19" i="16" s="1"/>
  <c r="S32" i="16"/>
  <c r="R32" i="16"/>
  <c r="Q32" i="16"/>
  <c r="P32" i="16"/>
  <c r="K32" i="16"/>
  <c r="J32" i="16"/>
  <c r="I32" i="16"/>
  <c r="H32" i="16"/>
  <c r="G32" i="16"/>
  <c r="F32" i="16"/>
  <c r="E32" i="16"/>
  <c r="E19" i="16" s="1"/>
  <c r="D32" i="16"/>
  <c r="C32" i="16"/>
  <c r="U31" i="16"/>
  <c r="N31" i="16"/>
  <c r="V31" i="16" s="1"/>
  <c r="U30" i="16"/>
  <c r="N30" i="16"/>
  <c r="V30" i="16" s="1"/>
  <c r="U29" i="16"/>
  <c r="N29" i="16"/>
  <c r="V29" i="16" s="1"/>
  <c r="V28" i="16"/>
  <c r="U28" i="16"/>
  <c r="N28" i="16"/>
  <c r="U27" i="16"/>
  <c r="N27" i="16"/>
  <c r="V27" i="16" s="1"/>
  <c r="U26" i="16"/>
  <c r="N26" i="16"/>
  <c r="V26" i="16" s="1"/>
  <c r="U25" i="16"/>
  <c r="N25" i="16"/>
  <c r="V25" i="16" s="1"/>
  <c r="U24" i="16"/>
  <c r="N24" i="16"/>
  <c r="V24" i="16" s="1"/>
  <c r="U23" i="16"/>
  <c r="U20" i="16" s="1"/>
  <c r="U19" i="16" s="1"/>
  <c r="N23" i="16"/>
  <c r="V23" i="16" s="1"/>
  <c r="U22" i="16"/>
  <c r="N22" i="16"/>
  <c r="V22" i="16" s="1"/>
  <c r="U21" i="16"/>
  <c r="N21" i="16"/>
  <c r="T20" i="16"/>
  <c r="S20" i="16"/>
  <c r="R20" i="16"/>
  <c r="Q20" i="16"/>
  <c r="P20" i="16"/>
  <c r="M20" i="16"/>
  <c r="M19" i="16" s="1"/>
  <c r="L20" i="16"/>
  <c r="K20" i="16"/>
  <c r="J20" i="16"/>
  <c r="I20" i="16"/>
  <c r="I19" i="16" s="1"/>
  <c r="H20" i="16"/>
  <c r="G20" i="16"/>
  <c r="F20" i="16"/>
  <c r="E20" i="16"/>
  <c r="D20" i="16"/>
  <c r="C20" i="16"/>
  <c r="S19" i="16"/>
  <c r="R19" i="16"/>
  <c r="Q19" i="16"/>
  <c r="P19" i="16"/>
  <c r="L19" i="16"/>
  <c r="K19" i="16"/>
  <c r="J19" i="16"/>
  <c r="H19" i="16"/>
  <c r="G19" i="16"/>
  <c r="F19" i="16"/>
  <c r="D19" i="16"/>
  <c r="C19" i="16"/>
  <c r="M17" i="16"/>
  <c r="L17" i="16"/>
  <c r="K17" i="16"/>
  <c r="U16" i="16"/>
  <c r="N16" i="16"/>
  <c r="V16" i="16" s="1"/>
  <c r="V15" i="16"/>
  <c r="V14" i="16" s="1"/>
  <c r="U15" i="16"/>
  <c r="U14" i="16" s="1"/>
  <c r="N15" i="16"/>
  <c r="T14" i="16"/>
  <c r="S14" i="16"/>
  <c r="R14" i="16"/>
  <c r="Q14" i="16"/>
  <c r="P14" i="16"/>
  <c r="N14" i="16"/>
  <c r="K14" i="16"/>
  <c r="J14" i="16"/>
  <c r="I14" i="16"/>
  <c r="H14" i="16"/>
  <c r="G14" i="16"/>
  <c r="F14" i="16"/>
  <c r="E14" i="16"/>
  <c r="D14" i="16"/>
  <c r="C14" i="16"/>
  <c r="U13" i="16"/>
  <c r="N13" i="16"/>
  <c r="V13" i="16" s="1"/>
  <c r="U12" i="16"/>
  <c r="U9" i="16" s="1"/>
  <c r="N12" i="16"/>
  <c r="V12" i="16" s="1"/>
  <c r="U11" i="16"/>
  <c r="N11" i="16"/>
  <c r="V11" i="16" s="1"/>
  <c r="V10" i="16"/>
  <c r="U10" i="16"/>
  <c r="U49" i="16" s="1"/>
  <c r="U48" i="16" s="1"/>
  <c r="T10" i="16"/>
  <c r="T49" i="16" s="1"/>
  <c r="T48" i="16" s="1"/>
  <c r="N10" i="16"/>
  <c r="N49" i="16" s="1"/>
  <c r="T9" i="16"/>
  <c r="T17" i="16" s="1"/>
  <c r="S9" i="16"/>
  <c r="S17" i="16" s="1"/>
  <c r="S103" i="16" s="1"/>
  <c r="R9" i="16"/>
  <c r="R17" i="16" s="1"/>
  <c r="Q9" i="16"/>
  <c r="Q17" i="16" s="1"/>
  <c r="Q103" i="16" s="1"/>
  <c r="P9" i="16"/>
  <c r="P17" i="16" s="1"/>
  <c r="N9" i="16"/>
  <c r="N17" i="16" s="1"/>
  <c r="K9" i="16"/>
  <c r="J9" i="16"/>
  <c r="J17" i="16" s="1"/>
  <c r="I9" i="16"/>
  <c r="I17" i="16" s="1"/>
  <c r="H9" i="16"/>
  <c r="H17" i="16" s="1"/>
  <c r="H103" i="16" s="1"/>
  <c r="G9" i="16"/>
  <c r="G17" i="16" s="1"/>
  <c r="F9" i="16"/>
  <c r="F17" i="16" s="1"/>
  <c r="E9" i="16"/>
  <c r="E17" i="16" s="1"/>
  <c r="E103" i="16" s="1"/>
  <c r="D9" i="16"/>
  <c r="D17" i="16" s="1"/>
  <c r="C9" i="16"/>
  <c r="C17" i="16" s="1"/>
  <c r="V26" i="17" l="1"/>
  <c r="U20" i="17"/>
  <c r="V27" i="17"/>
  <c r="V20" i="17" s="1"/>
  <c r="I20" i="18"/>
  <c r="H20" i="18"/>
  <c r="S17" i="17"/>
  <c r="S102" i="17"/>
  <c r="C103" i="18"/>
  <c r="C104" i="18" s="1"/>
  <c r="C105" i="18" s="1"/>
  <c r="H96" i="18"/>
  <c r="H82" i="18" s="1"/>
  <c r="H51" i="18" s="1"/>
  <c r="H102" i="18" s="1"/>
  <c r="I96" i="18"/>
  <c r="F82" i="18"/>
  <c r="G102" i="18"/>
  <c r="U111" i="17"/>
  <c r="N20" i="16"/>
  <c r="N19" i="16" s="1"/>
  <c r="U111" i="16"/>
  <c r="T50" i="17"/>
  <c r="T102" i="17" s="1"/>
  <c r="T103" i="17" s="1"/>
  <c r="T104" i="17" s="1"/>
  <c r="F50" i="17"/>
  <c r="E50" i="17"/>
  <c r="E102" i="17" s="1"/>
  <c r="K102" i="17"/>
  <c r="V51" i="17"/>
  <c r="R103" i="17"/>
  <c r="R104" i="17" s="1"/>
  <c r="V63" i="17"/>
  <c r="H102" i="17"/>
  <c r="H103" i="17" s="1"/>
  <c r="P102" i="17"/>
  <c r="P103" i="17" s="1"/>
  <c r="P104" i="17" s="1"/>
  <c r="U17" i="17"/>
  <c r="D50" i="17"/>
  <c r="D102" i="17" s="1"/>
  <c r="Q102" i="17"/>
  <c r="N17" i="17"/>
  <c r="J103" i="17"/>
  <c r="F102" i="17"/>
  <c r="F103" i="17" s="1"/>
  <c r="V15" i="17"/>
  <c r="V14" i="17" s="1"/>
  <c r="N20" i="17"/>
  <c r="N19" i="17" s="1"/>
  <c r="V33" i="17"/>
  <c r="V32" i="17" s="1"/>
  <c r="I102" i="17"/>
  <c r="U81" i="17"/>
  <c r="U50" i="17" s="1"/>
  <c r="V55" i="17"/>
  <c r="V86" i="17"/>
  <c r="V82" i="17" s="1"/>
  <c r="V81" i="17" s="1"/>
  <c r="E103" i="17"/>
  <c r="U19" i="17"/>
  <c r="U49" i="17"/>
  <c r="N63" i="17"/>
  <c r="N50" i="17" s="1"/>
  <c r="N102" i="17" s="1"/>
  <c r="K104" i="17"/>
  <c r="D103" i="17"/>
  <c r="D104" i="17"/>
  <c r="J104" i="17"/>
  <c r="E104" i="17"/>
  <c r="K103" i="17"/>
  <c r="C103" i="17"/>
  <c r="C104" i="17" s="1"/>
  <c r="Q103" i="17"/>
  <c r="Q104" i="17" s="1"/>
  <c r="G104" i="17"/>
  <c r="V10" i="17"/>
  <c r="V9" i="17" s="1"/>
  <c r="V17" i="17" s="1"/>
  <c r="N48" i="17"/>
  <c r="F103" i="16"/>
  <c r="I103" i="16"/>
  <c r="F50" i="16"/>
  <c r="F102" i="16" s="1"/>
  <c r="J103" i="16"/>
  <c r="V51" i="16"/>
  <c r="V32" i="16"/>
  <c r="H104" i="16"/>
  <c r="P104" i="16"/>
  <c r="V49" i="16"/>
  <c r="V48" i="16" s="1"/>
  <c r="N48" i="16"/>
  <c r="V9" i="16"/>
  <c r="V17" i="16" s="1"/>
  <c r="K103" i="16"/>
  <c r="K104" i="16" s="1"/>
  <c r="I50" i="16"/>
  <c r="I102" i="16" s="1"/>
  <c r="P103" i="16"/>
  <c r="V63" i="16"/>
  <c r="Q104" i="16"/>
  <c r="U17" i="16"/>
  <c r="J104" i="16"/>
  <c r="C103" i="16"/>
  <c r="C104" i="16" s="1"/>
  <c r="R103" i="16"/>
  <c r="R104" i="16" s="1"/>
  <c r="N50" i="16"/>
  <c r="T102" i="16"/>
  <c r="E104" i="16"/>
  <c r="D102" i="16"/>
  <c r="S104" i="16"/>
  <c r="T103" i="16"/>
  <c r="U81" i="16"/>
  <c r="U50" i="16" s="1"/>
  <c r="U102" i="16" s="1"/>
  <c r="G103" i="16"/>
  <c r="G104" i="16" s="1"/>
  <c r="V83" i="16"/>
  <c r="V82" i="16" s="1"/>
  <c r="V81" i="16" s="1"/>
  <c r="V36" i="16"/>
  <c r="U95" i="16"/>
  <c r="V21" i="16"/>
  <c r="V20" i="16" s="1"/>
  <c r="S103" i="17" l="1"/>
  <c r="S104" i="17" s="1"/>
  <c r="U48" i="17"/>
  <c r="U102" i="17" s="1"/>
  <c r="U103" i="17" s="1"/>
  <c r="V49" i="17"/>
  <c r="V48" i="17" s="1"/>
  <c r="V102" i="17" s="1"/>
  <c r="K14" i="18"/>
  <c r="G103" i="18"/>
  <c r="J14" i="18" s="1"/>
  <c r="L14" i="18" s="1"/>
  <c r="H103" i="18"/>
  <c r="H104" i="18" s="1"/>
  <c r="I82" i="18"/>
  <c r="F51" i="18"/>
  <c r="I104" i="17"/>
  <c r="V50" i="17"/>
  <c r="F104" i="17"/>
  <c r="I103" i="17"/>
  <c r="V19" i="17"/>
  <c r="H104" i="17"/>
  <c r="N103" i="17"/>
  <c r="N104" i="17" s="1"/>
  <c r="U112" i="16"/>
  <c r="U113" i="16" s="1"/>
  <c r="U103" i="16"/>
  <c r="U104" i="16" s="1"/>
  <c r="D103" i="16"/>
  <c r="D104" i="16" s="1"/>
  <c r="V19" i="16"/>
  <c r="V50" i="16"/>
  <c r="T104" i="16"/>
  <c r="N102" i="16"/>
  <c r="I104" i="16"/>
  <c r="F104" i="16"/>
  <c r="U104" i="17" l="1"/>
  <c r="U112" i="17"/>
  <c r="U113" i="17" s="1"/>
  <c r="V103" i="17"/>
  <c r="V104" i="17" s="1"/>
  <c r="G104" i="18"/>
  <c r="F102" i="18"/>
  <c r="I51" i="18"/>
  <c r="N103" i="16"/>
  <c r="N104" i="16" s="1"/>
  <c r="V102" i="16"/>
  <c r="F103" i="18" l="1"/>
  <c r="F104" i="18" s="1"/>
  <c r="F105" i="18" s="1"/>
  <c r="I102" i="18"/>
  <c r="V103" i="16"/>
  <c r="V104" i="16" s="1"/>
  <c r="G101" i="15" l="1"/>
  <c r="G100" i="15" s="1"/>
  <c r="F101" i="15"/>
  <c r="F100" i="15" s="1"/>
  <c r="E100" i="15"/>
  <c r="C100" i="15"/>
  <c r="G99" i="15"/>
  <c r="C99" i="15"/>
  <c r="F98" i="15"/>
  <c r="I98" i="15" s="1"/>
  <c r="G97" i="15"/>
  <c r="G96" i="15" s="1"/>
  <c r="C97" i="15"/>
  <c r="F97" i="15" s="1"/>
  <c r="E96" i="15"/>
  <c r="D96" i="15"/>
  <c r="C95" i="15"/>
  <c r="F95" i="15" s="1"/>
  <c r="F94" i="15"/>
  <c r="H94" i="15" s="1"/>
  <c r="F93" i="15"/>
  <c r="H93" i="15" s="1"/>
  <c r="G92" i="15"/>
  <c r="C92" i="15"/>
  <c r="F92" i="15" s="1"/>
  <c r="G91" i="15"/>
  <c r="C91" i="15"/>
  <c r="F91" i="15" s="1"/>
  <c r="G90" i="15"/>
  <c r="C90" i="15"/>
  <c r="F90" i="15" s="1"/>
  <c r="G89" i="15"/>
  <c r="C89" i="15"/>
  <c r="F89" i="15" s="1"/>
  <c r="G88" i="15"/>
  <c r="C88" i="15"/>
  <c r="F88" i="15" s="1"/>
  <c r="G87" i="15"/>
  <c r="C87" i="15"/>
  <c r="F87" i="15" s="1"/>
  <c r="G86" i="15"/>
  <c r="C86" i="15"/>
  <c r="G85" i="15"/>
  <c r="C85" i="15"/>
  <c r="F85" i="15" s="1"/>
  <c r="C84" i="15"/>
  <c r="F84" i="15" s="1"/>
  <c r="I84" i="15" s="1"/>
  <c r="E83" i="15"/>
  <c r="D83" i="15"/>
  <c r="F81" i="15"/>
  <c r="H81" i="15" s="1"/>
  <c r="F80" i="15"/>
  <c r="H80" i="15" s="1"/>
  <c r="F79" i="15"/>
  <c r="I79" i="15" s="1"/>
  <c r="F78" i="15"/>
  <c r="I78" i="15" s="1"/>
  <c r="F77" i="15"/>
  <c r="I77" i="15" s="1"/>
  <c r="F76" i="15"/>
  <c r="H76" i="15" s="1"/>
  <c r="G75" i="15"/>
  <c r="C75" i="15"/>
  <c r="F75" i="15" s="1"/>
  <c r="G74" i="15"/>
  <c r="C74" i="15"/>
  <c r="F74" i="15" s="1"/>
  <c r="G73" i="15"/>
  <c r="C73" i="15"/>
  <c r="F73" i="15" s="1"/>
  <c r="G72" i="15"/>
  <c r="C72" i="15"/>
  <c r="F72" i="15" s="1"/>
  <c r="G71" i="15"/>
  <c r="C71" i="15"/>
  <c r="F71" i="15" s="1"/>
  <c r="G70" i="15"/>
  <c r="C70" i="15"/>
  <c r="F70" i="15" s="1"/>
  <c r="G69" i="15"/>
  <c r="C69" i="15"/>
  <c r="F69" i="15" s="1"/>
  <c r="G68" i="15"/>
  <c r="C68" i="15"/>
  <c r="F68" i="15" s="1"/>
  <c r="F67" i="15"/>
  <c r="I67" i="15" s="1"/>
  <c r="G66" i="15"/>
  <c r="C66" i="15"/>
  <c r="F66" i="15" s="1"/>
  <c r="G65" i="15"/>
  <c r="C65" i="15"/>
  <c r="F65" i="15" s="1"/>
  <c r="E64" i="15"/>
  <c r="D64" i="15"/>
  <c r="G63" i="15"/>
  <c r="C63" i="15"/>
  <c r="F63" i="15" s="1"/>
  <c r="G62" i="15"/>
  <c r="C62" i="15"/>
  <c r="F62" i="15" s="1"/>
  <c r="G61" i="15"/>
  <c r="C61" i="15"/>
  <c r="F61" i="15" s="1"/>
  <c r="G60" i="15"/>
  <c r="F60" i="15"/>
  <c r="G59" i="15"/>
  <c r="C59" i="15"/>
  <c r="F59" i="15" s="1"/>
  <c r="F58" i="15"/>
  <c r="G58" i="15" s="1"/>
  <c r="I58" i="15" s="1"/>
  <c r="G57" i="15"/>
  <c r="C57" i="15"/>
  <c r="G56" i="15"/>
  <c r="C56" i="15"/>
  <c r="F56" i="15" s="1"/>
  <c r="G55" i="15"/>
  <c r="F55" i="15"/>
  <c r="I55" i="15" s="1"/>
  <c r="G54" i="15"/>
  <c r="C54" i="15"/>
  <c r="F54" i="15" s="1"/>
  <c r="G53" i="15"/>
  <c r="F53" i="15"/>
  <c r="E52" i="15"/>
  <c r="D52" i="15"/>
  <c r="G50" i="15"/>
  <c r="H49" i="15" s="1"/>
  <c r="E50" i="15"/>
  <c r="E49" i="15" s="1"/>
  <c r="D50" i="15"/>
  <c r="D49" i="15" s="1"/>
  <c r="C50" i="15"/>
  <c r="C49" i="15" s="1"/>
  <c r="G48" i="15"/>
  <c r="F48" i="15"/>
  <c r="G47" i="15"/>
  <c r="F47" i="15"/>
  <c r="G46" i="15"/>
  <c r="C46" i="15"/>
  <c r="F46" i="15" s="1"/>
  <c r="G45" i="15"/>
  <c r="C45" i="15"/>
  <c r="F45" i="15" s="1"/>
  <c r="G44" i="15"/>
  <c r="C44" i="15"/>
  <c r="F44" i="15" s="1"/>
  <c r="G43" i="15"/>
  <c r="F43" i="15"/>
  <c r="G42" i="15"/>
  <c r="C42" i="15"/>
  <c r="F42" i="15" s="1"/>
  <c r="G41" i="15"/>
  <c r="C41" i="15"/>
  <c r="F41" i="15" s="1"/>
  <c r="F40" i="15"/>
  <c r="I40" i="15" s="1"/>
  <c r="G39" i="15"/>
  <c r="C39" i="15"/>
  <c r="F39" i="15" s="1"/>
  <c r="G38" i="15"/>
  <c r="C38" i="15"/>
  <c r="F38" i="15" s="1"/>
  <c r="G37" i="15"/>
  <c r="C37" i="15"/>
  <c r="F37" i="15" s="1"/>
  <c r="G36" i="15"/>
  <c r="F36" i="15"/>
  <c r="F35" i="15"/>
  <c r="I35" i="15" s="1"/>
  <c r="G34" i="15"/>
  <c r="C34" i="15"/>
  <c r="F34" i="15" s="1"/>
  <c r="E33" i="15"/>
  <c r="D33" i="15"/>
  <c r="G32" i="15"/>
  <c r="C32" i="15"/>
  <c r="F32" i="15" s="1"/>
  <c r="G31" i="15"/>
  <c r="C31" i="15"/>
  <c r="F31" i="15" s="1"/>
  <c r="G30" i="15"/>
  <c r="C30" i="15"/>
  <c r="F30" i="15" s="1"/>
  <c r="H30" i="15" s="1"/>
  <c r="F29" i="15"/>
  <c r="C28" i="15"/>
  <c r="F28" i="15" s="1"/>
  <c r="F27" i="15"/>
  <c r="G27" i="15" s="1"/>
  <c r="I27" i="15" s="1"/>
  <c r="G26" i="15"/>
  <c r="C26" i="15"/>
  <c r="F26" i="15" s="1"/>
  <c r="G25" i="15"/>
  <c r="C25" i="15"/>
  <c r="F25" i="15" s="1"/>
  <c r="G24" i="15"/>
  <c r="F24" i="15"/>
  <c r="G23" i="15"/>
  <c r="C23" i="15"/>
  <c r="F23" i="15" s="1"/>
  <c r="G22" i="15"/>
  <c r="C22" i="15"/>
  <c r="F22" i="15" s="1"/>
  <c r="E21" i="15"/>
  <c r="D21" i="15"/>
  <c r="F17" i="15"/>
  <c r="H17" i="15" s="1"/>
  <c r="F16" i="15"/>
  <c r="H16" i="15" s="1"/>
  <c r="G15" i="15"/>
  <c r="E15" i="15"/>
  <c r="D15" i="15"/>
  <c r="C15" i="15"/>
  <c r="F13" i="15"/>
  <c r="I13" i="15" s="1"/>
  <c r="F12" i="15"/>
  <c r="H12" i="15" s="1"/>
  <c r="F11" i="15"/>
  <c r="I11" i="15" s="1"/>
  <c r="G10" i="15"/>
  <c r="D10" i="15"/>
  <c r="C10" i="15"/>
  <c r="H71" i="15" l="1"/>
  <c r="H34" i="15"/>
  <c r="H72" i="15"/>
  <c r="H25" i="15"/>
  <c r="I60" i="15"/>
  <c r="H11" i="15"/>
  <c r="E20" i="15"/>
  <c r="I94" i="15"/>
  <c r="E82" i="15"/>
  <c r="E51" i="15" s="1"/>
  <c r="I43" i="15"/>
  <c r="H36" i="15"/>
  <c r="I17" i="15"/>
  <c r="I76" i="15"/>
  <c r="I16" i="15"/>
  <c r="C18" i="15"/>
  <c r="I12" i="15"/>
  <c r="G18" i="15"/>
  <c r="F15" i="15"/>
  <c r="I15" i="15" s="1"/>
  <c r="I48" i="15"/>
  <c r="I80" i="15"/>
  <c r="G49" i="15"/>
  <c r="H27" i="15"/>
  <c r="D18" i="15"/>
  <c r="I53" i="15"/>
  <c r="H47" i="15"/>
  <c r="H98" i="15"/>
  <c r="H24" i="15"/>
  <c r="I29" i="15"/>
  <c r="H40" i="15"/>
  <c r="D20" i="15"/>
  <c r="D82" i="15"/>
  <c r="D51" i="15" s="1"/>
  <c r="H100" i="15"/>
  <c r="H85" i="15"/>
  <c r="I24" i="15"/>
  <c r="H37" i="15"/>
  <c r="H74" i="15"/>
  <c r="H45" i="15"/>
  <c r="H66" i="15"/>
  <c r="H38" i="15"/>
  <c r="H92" i="15"/>
  <c r="I56" i="15"/>
  <c r="H87" i="15"/>
  <c r="H15" i="15"/>
  <c r="G33" i="15"/>
  <c r="H68" i="15"/>
  <c r="H88" i="15"/>
  <c r="I36" i="15"/>
  <c r="I47" i="15"/>
  <c r="H89" i="15"/>
  <c r="I89" i="15"/>
  <c r="H59" i="15"/>
  <c r="I59" i="15"/>
  <c r="I66" i="15"/>
  <c r="I62" i="15"/>
  <c r="I37" i="15"/>
  <c r="I92" i="15"/>
  <c r="C96" i="15"/>
  <c r="I45" i="15"/>
  <c r="I68" i="15"/>
  <c r="I42" i="15"/>
  <c r="H42" i="15"/>
  <c r="I97" i="15"/>
  <c r="H97" i="15"/>
  <c r="I87" i="15"/>
  <c r="I95" i="15"/>
  <c r="H95" i="15"/>
  <c r="F21" i="15"/>
  <c r="H22" i="15"/>
  <c r="I32" i="15"/>
  <c r="H32" i="15"/>
  <c r="I71" i="15"/>
  <c r="I85" i="15"/>
  <c r="C83" i="15"/>
  <c r="C21" i="15"/>
  <c r="I44" i="15"/>
  <c r="H62" i="15"/>
  <c r="I74" i="15"/>
  <c r="I25" i="15"/>
  <c r="H29" i="15"/>
  <c r="H54" i="15"/>
  <c r="I90" i="15"/>
  <c r="E10" i="15"/>
  <c r="E18" i="15" s="1"/>
  <c r="I75" i="15"/>
  <c r="I22" i="15"/>
  <c r="I63" i="15"/>
  <c r="I26" i="15"/>
  <c r="I30" i="15"/>
  <c r="H60" i="15"/>
  <c r="I72" i="15"/>
  <c r="I88" i="15"/>
  <c r="F10" i="15"/>
  <c r="I34" i="15"/>
  <c r="I38" i="15"/>
  <c r="H43" i="15"/>
  <c r="H56" i="15"/>
  <c r="C64" i="15"/>
  <c r="H53" i="15"/>
  <c r="I65" i="15"/>
  <c r="H28" i="15"/>
  <c r="C52" i="15"/>
  <c r="G64" i="15"/>
  <c r="I39" i="15"/>
  <c r="H39" i="15"/>
  <c r="I61" i="15"/>
  <c r="H61" i="15"/>
  <c r="I100" i="15"/>
  <c r="I28" i="15"/>
  <c r="I70" i="15"/>
  <c r="H70" i="15"/>
  <c r="F64" i="15"/>
  <c r="I31" i="15"/>
  <c r="H31" i="15"/>
  <c r="I73" i="15"/>
  <c r="H73" i="15"/>
  <c r="I14" i="15"/>
  <c r="H14" i="15"/>
  <c r="I41" i="15"/>
  <c r="H41" i="15"/>
  <c r="I91" i="15"/>
  <c r="H91" i="15"/>
  <c r="F33" i="15"/>
  <c r="I23" i="15"/>
  <c r="H23" i="15"/>
  <c r="I46" i="15"/>
  <c r="H46" i="15"/>
  <c r="C33" i="15"/>
  <c r="H77" i="15"/>
  <c r="H13" i="15"/>
  <c r="H35" i="15"/>
  <c r="I54" i="15"/>
  <c r="H67" i="15"/>
  <c r="H101" i="15"/>
  <c r="H78" i="15"/>
  <c r="I101" i="15"/>
  <c r="F50" i="15"/>
  <c r="F49" i="15" s="1"/>
  <c r="F57" i="15"/>
  <c r="H57" i="15" s="1"/>
  <c r="G83" i="15"/>
  <c r="G52" i="15"/>
  <c r="F86" i="15"/>
  <c r="I93" i="15"/>
  <c r="F99" i="15"/>
  <c r="I99" i="15" s="1"/>
  <c r="H55" i="15"/>
  <c r="H48" i="15"/>
  <c r="H69" i="15"/>
  <c r="H90" i="15"/>
  <c r="G21" i="15"/>
  <c r="H26" i="15"/>
  <c r="H44" i="15"/>
  <c r="H58" i="15"/>
  <c r="H63" i="15"/>
  <c r="H65" i="15"/>
  <c r="H75" i="15"/>
  <c r="H79" i="15"/>
  <c r="H84" i="15"/>
  <c r="I69" i="15"/>
  <c r="I81" i="15"/>
  <c r="D102" i="15" l="1"/>
  <c r="D103" i="15" s="1"/>
  <c r="D104" i="15" s="1"/>
  <c r="D105" i="15" s="1"/>
  <c r="E102" i="15"/>
  <c r="E103" i="15" s="1"/>
  <c r="E104" i="15" s="1"/>
  <c r="E105" i="15" s="1"/>
  <c r="I49" i="15"/>
  <c r="C82" i="15"/>
  <c r="C51" i="15" s="1"/>
  <c r="I50" i="15"/>
  <c r="I33" i="15"/>
  <c r="F52" i="15"/>
  <c r="I52" i="15" s="1"/>
  <c r="C20" i="15"/>
  <c r="I10" i="15"/>
  <c r="F20" i="15"/>
  <c r="H21" i="15"/>
  <c r="H33" i="15"/>
  <c r="H10" i="15"/>
  <c r="H18" i="15" s="1"/>
  <c r="I64" i="15"/>
  <c r="F18" i="15"/>
  <c r="H52" i="15"/>
  <c r="I57" i="15"/>
  <c r="F96" i="15"/>
  <c r="H99" i="15"/>
  <c r="H64" i="15"/>
  <c r="G20" i="15"/>
  <c r="I21" i="15"/>
  <c r="F83" i="15"/>
  <c r="I83" i="15" s="1"/>
  <c r="I86" i="15"/>
  <c r="H86" i="15"/>
  <c r="H83" i="15" s="1"/>
  <c r="G82" i="15"/>
  <c r="C102" i="15" l="1"/>
  <c r="C103" i="15" s="1"/>
  <c r="C104" i="15" s="1"/>
  <c r="C105" i="15" s="1"/>
  <c r="I18" i="15"/>
  <c r="I20" i="15"/>
  <c r="F82" i="15"/>
  <c r="F51" i="15" s="1"/>
  <c r="F102" i="15" s="1"/>
  <c r="F103" i="15" s="1"/>
  <c r="H20" i="15"/>
  <c r="G51" i="15"/>
  <c r="H96" i="15"/>
  <c r="H82" i="15" s="1"/>
  <c r="H51" i="15" s="1"/>
  <c r="H102" i="15" s="1"/>
  <c r="I96" i="15"/>
  <c r="F104" i="15" l="1"/>
  <c r="I82" i="15"/>
  <c r="I51" i="15"/>
  <c r="G102" i="15"/>
  <c r="H103" i="15"/>
  <c r="H104" i="15" s="1"/>
  <c r="F105" i="15" l="1"/>
  <c r="I102" i="15"/>
  <c r="K14" i="15"/>
  <c r="G103" i="15"/>
  <c r="J14" i="15" s="1"/>
  <c r="L14" i="15" s="1"/>
  <c r="G104" i="15" l="1"/>
</calcChain>
</file>

<file path=xl/comments1.xml><?xml version="1.0" encoding="utf-8"?>
<comments xmlns="http://schemas.openxmlformats.org/spreadsheetml/2006/main">
  <authors>
    <author>PERSONAL</author>
  </authors>
  <commentList>
    <comment ref="T10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10 PESOS EN EL PRIMER TRIMESTRE y 1 peso en el segundo trimestre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de 1 peso en el tercer trimestre que falto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de -1 peso en el tercer trimestre</t>
        </r>
      </text>
    </comment>
  </commentList>
</comments>
</file>

<file path=xl/comments2.xml><?xml version="1.0" encoding="utf-8"?>
<comments xmlns="http://schemas.openxmlformats.org/spreadsheetml/2006/main">
  <authors>
    <author>PERSONAL</author>
  </authors>
  <commentList>
    <comment ref="T27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de 1 peso en el tercer trimestre que falto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ajuste de -1 peso en el tercer trimestre</t>
        </r>
      </text>
    </comment>
  </commentList>
</comments>
</file>

<file path=xl/sharedStrings.xml><?xml version="1.0" encoding="utf-8"?>
<sst xmlns="http://schemas.openxmlformats.org/spreadsheetml/2006/main" count="654" uniqueCount="124">
  <si>
    <t>DIRECCION DE CADENAS AGRICOLAS Y FORESTALES</t>
  </si>
  <si>
    <t>PROGRAMA DE SEGUIMIENTO Y EVALUACION FONDOS PARAFISCALES</t>
  </si>
  <si>
    <t>FONDO NACIONAL DE FOMENTO DE LA PAPA</t>
  </si>
  <si>
    <t>CUENTAS</t>
  </si>
  <si>
    <t>TRASLADO</t>
  </si>
  <si>
    <t>SALDO</t>
  </si>
  <si>
    <t>%</t>
  </si>
  <si>
    <t>INGRESOS OPERACIONALES</t>
  </si>
  <si>
    <t>Cuota de Fomento</t>
  </si>
  <si>
    <t>Intereses por Mora</t>
  </si>
  <si>
    <t>Superávit Vigencias anteriores</t>
  </si>
  <si>
    <t>INGRESOS NO OPERACIONALES</t>
  </si>
  <si>
    <t>Otros Ingresos</t>
  </si>
  <si>
    <t>Ingresos Financieros</t>
  </si>
  <si>
    <t>TOTAL INGRESOS</t>
  </si>
  <si>
    <t>EGRESOS</t>
  </si>
  <si>
    <t>FUNCIONAMIENTO:</t>
  </si>
  <si>
    <t>SERVICIOS PERSONALES</t>
  </si>
  <si>
    <t>Sueldos</t>
  </si>
  <si>
    <t>Vacaciones</t>
  </si>
  <si>
    <t>Auxilio de Transporte</t>
  </si>
  <si>
    <t>Prima legal</t>
  </si>
  <si>
    <t xml:space="preserve">Honorarios 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</si>
  <si>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</si>
  <si>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</si>
  <si>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</si>
  <si>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</si>
  <si>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</si>
  <si>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</si>
  <si>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GASTOS GENERALES</t>
  </si>
  <si>
    <t>Dotaciones</t>
  </si>
  <si>
    <t>Servicios públicos</t>
  </si>
  <si>
    <t>Correo</t>
  </si>
  <si>
    <t>Viáticos y Gastos de viaje</t>
  </si>
  <si>
    <t>Capacitación y divulgación</t>
  </si>
  <si>
    <t>Impresos y publicaciones</t>
  </si>
  <si>
    <t xml:space="preserve">Materiales y suministros </t>
  </si>
  <si>
    <t>Transportes fletes y acarreos</t>
  </si>
  <si>
    <t>Comisiones y gastos bancarios</t>
  </si>
  <si>
    <t xml:space="preserve">Arriendos </t>
  </si>
  <si>
    <t>Cuota de Auditaje C.G.R.</t>
  </si>
  <si>
    <t>Gastos Junta Directiva</t>
  </si>
  <si>
    <t xml:space="preserve">Contraprestación </t>
  </si>
  <si>
    <t xml:space="preserve">Compra base de datos </t>
  </si>
  <si>
    <t>ESTUDIOS Y PROYECTOS</t>
  </si>
  <si>
    <t>Transferencia de tecnología</t>
  </si>
  <si>
    <t>PROGRAMA 3</t>
  </si>
  <si>
    <t>RESERVA PROY. INV. Y GT.</t>
  </si>
  <si>
    <t>TOTAL PRESUPUESTO</t>
  </si>
  <si>
    <t>Cuota de Fomento vigencias anteriores</t>
  </si>
  <si>
    <t>Cifra de control</t>
  </si>
  <si>
    <t>ACUERDO 17</t>
  </si>
  <si>
    <t>ACUERDO 21</t>
  </si>
  <si>
    <t>EJECUCION</t>
  </si>
  <si>
    <t>ACUERDO 13</t>
  </si>
  <si>
    <t>ACUERDO 18</t>
  </si>
  <si>
    <t>AJUSTE</t>
  </si>
  <si>
    <t>CUADRO CONTROL DE APROPIACION  2020</t>
  </si>
  <si>
    <t>CIERRE DEFINITIVO 4TO TRIMESTRE VIGENCIA 2020</t>
  </si>
  <si>
    <t>CUARTO TRIM</t>
  </si>
  <si>
    <t>ADICION</t>
  </si>
  <si>
    <t>AÑO 2020</t>
  </si>
  <si>
    <t>ACUERDO 21/2020</t>
  </si>
  <si>
    <t>OCT-NOV 2020</t>
  </si>
  <si>
    <t>Muebles y equipo de oficina</t>
  </si>
  <si>
    <t>Mantenimiento</t>
  </si>
  <si>
    <t>Seguros, impuestos y gastos legales</t>
  </si>
  <si>
    <t>CUOTA DE ADMINISTRACIÓN</t>
  </si>
  <si>
    <t>INVERSIÓN:</t>
  </si>
  <si>
    <t>Equipo de campo</t>
  </si>
  <si>
    <t>Semillas</t>
  </si>
  <si>
    <t xml:space="preserve">Análisis microbiológicos  </t>
  </si>
  <si>
    <t>Análisis de suelo</t>
  </si>
  <si>
    <t>Alquiler de dron para imágenes</t>
  </si>
  <si>
    <t>Alquiler de dron para fumigacion</t>
  </si>
  <si>
    <t>Reactivos</t>
  </si>
  <si>
    <t xml:space="preserve">Diagnostico de muestras </t>
  </si>
  <si>
    <t>Adecuaciones invernaderos</t>
  </si>
  <si>
    <t>Insumos agrícolas lotes de pruebas</t>
  </si>
  <si>
    <t>Insumos agricolas lotes de riego</t>
  </si>
  <si>
    <t xml:space="preserve">Pruebas de evaluación agronómica </t>
  </si>
  <si>
    <t>Limpieza de material vegetal</t>
  </si>
  <si>
    <t>Campaña de promoción al consumo</t>
  </si>
  <si>
    <t>ATL</t>
  </si>
  <si>
    <t>BTL</t>
  </si>
  <si>
    <t>Digital</t>
  </si>
  <si>
    <t>Estudios</t>
  </si>
  <si>
    <t>Investigacion campaña de consumo</t>
  </si>
  <si>
    <t>TOTAL INVERSIÓN Y FUNCIONAMIENTO</t>
  </si>
  <si>
    <t>SOLICITUDES 2020</t>
  </si>
  <si>
    <t>ACUERDO 24/2019</t>
  </si>
  <si>
    <t>ACUERDO 03</t>
  </si>
  <si>
    <t>ACUERDO 04</t>
  </si>
  <si>
    <t>ACUERDO 10</t>
  </si>
  <si>
    <t>ACUERDO 11</t>
  </si>
  <si>
    <t xml:space="preserve">TRASLADO </t>
  </si>
  <si>
    <t>APROPIACION</t>
  </si>
  <si>
    <t>1ER TRIMESTRE</t>
  </si>
  <si>
    <t>2DO TRIMESTRE</t>
  </si>
  <si>
    <t>3ER TRIMESTRE</t>
  </si>
  <si>
    <t>4TO TRIMESTRE</t>
  </si>
  <si>
    <t>SALDO A</t>
  </si>
  <si>
    <t>APROP 2020</t>
  </si>
  <si>
    <t>SUPERAVIT 2019</t>
  </si>
  <si>
    <t>ADICION VIG 2020</t>
  </si>
  <si>
    <t>DEVOL VIG 2020</t>
  </si>
  <si>
    <t>INTERNO 03/2020</t>
  </si>
  <si>
    <t>INTERNO 04/2020</t>
  </si>
  <si>
    <t>DEFINITIVA 2020</t>
  </si>
  <si>
    <t>VIGENCIA</t>
  </si>
  <si>
    <t>DEVOLVER 2020</t>
  </si>
  <si>
    <t xml:space="preserve"> </t>
  </si>
  <si>
    <t>Semillas (Básicas, Registradas, certificada o de calidad declarada)</t>
  </si>
  <si>
    <t>Alquiler de dron para imágenes multiespectrales</t>
  </si>
  <si>
    <t>Insumos agrícolas lotes de riego</t>
  </si>
  <si>
    <t xml:space="preserve">Limpieza de material vegetal y propagación de mini tubérculos </t>
  </si>
  <si>
    <t>contabilidad</t>
  </si>
  <si>
    <t>cta 53</t>
  </si>
  <si>
    <t>activos fijos</t>
  </si>
  <si>
    <t>presupuesto</t>
  </si>
  <si>
    <t>INTERNO N04</t>
  </si>
  <si>
    <t>INTERNO 04-2020</t>
  </si>
  <si>
    <t>INTERNO 05/2020</t>
  </si>
  <si>
    <t>ACUERDO 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</si>
</sst>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_ * #,##0.00_ ;_ * \-#,##0.00_ ;_ * &quot;-&quot;??_ ;_ @_ "/>
    <numFmt numFmtId="167" formatCode="_ * #,##0_ ;_ * \-#,##0_ ;_ * &quot;-&quot;??_ ;_ @_ "/>
    <numFmt numFmtId="168" formatCode="_-* #,##0\ _€_-;\-* #,##0\ _€_-;_-* &quot;-&quot;??\ _€_-;_-@_-"/>
    <numFmt numFmtId="169" formatCode="_-&quot;$&quot;* #,##0_-;\-&quot;$&quot;* #,##0_-;_-&quot;$&quot;* &quot;-&quot;??_-;_-@_-"/>
    <numFmt numFmtId="170" formatCode="_-* #,##0\ _€_-;\-* #,##0\ _€_-;_-* &quot;-&quot;\ _€_-;_-@_-"/>
    <numFmt numFmtId="171" formatCode="[$$-240A]#,##0"/>
    <numFmt numFmtId="172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70">
    <xf numFmtId="0" fontId="0" fillId="0" borderId="0" xfId="0"/>
    <xf numFmtId="0" fontId="4" fillId="0" borderId="0" xfId="3" applyFont="1"/>
    <xf numFmtId="0" fontId="3" fillId="2" borderId="11" xfId="3" applyFont="1" applyFill="1" applyBorder="1" applyAlignment="1"/>
    <xf numFmtId="0" fontId="4" fillId="0" borderId="11" xfId="3" applyFont="1" applyBorder="1" applyAlignment="1">
      <alignment horizontal="left" indent="1"/>
    </xf>
    <xf numFmtId="0" fontId="3" fillId="2" borderId="11" xfId="3" applyFont="1" applyFill="1" applyBorder="1" applyAlignment="1">
      <alignment horizontal="centerContinuous"/>
    </xf>
    <xf numFmtId="0" fontId="3" fillId="2" borderId="11" xfId="3" applyFont="1" applyFill="1" applyBorder="1" applyAlignment="1">
      <alignment horizontal="left"/>
    </xf>
    <xf numFmtId="0" fontId="3" fillId="2" borderId="11" xfId="3" applyFont="1" applyFill="1" applyBorder="1" applyAlignment="1">
      <alignment horizontal="left" indent="1"/>
    </xf>
    <xf numFmtId="0" fontId="4" fillId="0" borderId="11" xfId="3" applyFont="1" applyBorder="1" applyAlignment="1">
      <alignment horizontal="left" indent="2"/>
    </xf>
    <xf numFmtId="3" fontId="4" fillId="0" borderId="11" xfId="3" applyNumberFormat="1" applyFont="1" applyFill="1" applyBorder="1" applyAlignment="1">
      <alignment horizontal="left" vertical="justify" wrapText="1" indent="2"/>
    </xf>
    <xf numFmtId="0" fontId="4" fillId="0" borderId="14" xfId="3" applyFont="1" applyBorder="1" applyAlignment="1">
      <alignment horizontal="left" indent="2"/>
    </xf>
    <xf numFmtId="0" fontId="4" fillId="0" borderId="6" xfId="3" applyFont="1" applyBorder="1" applyAlignment="1">
      <alignment horizontal="left" indent="2"/>
    </xf>
    <xf numFmtId="3" fontId="4" fillId="0" borderId="11" xfId="3" applyNumberFormat="1" applyFont="1" applyBorder="1" applyAlignment="1">
      <alignment horizontal="left" vertical="justify" wrapText="1" indent="2"/>
    </xf>
    <xf numFmtId="0" fontId="3" fillId="2" borderId="11" xfId="3" applyFont="1" applyFill="1" applyBorder="1" applyAlignment="1">
      <alignment horizontal="left" indent="2"/>
    </xf>
    <xf numFmtId="0" fontId="3" fillId="2" borderId="11" xfId="3" applyFont="1" applyFill="1" applyBorder="1"/>
    <xf numFmtId="0" fontId="3" fillId="2" borderId="18" xfId="3" applyFont="1" applyFill="1" applyBorder="1"/>
    <xf numFmtId="10" fontId="4" fillId="0" borderId="0" xfId="2" applyNumberFormat="1" applyFont="1"/>
    <xf numFmtId="164" fontId="4" fillId="0" borderId="0" xfId="1" applyFont="1" applyFill="1"/>
    <xf numFmtId="168" fontId="4" fillId="0" borderId="0" xfId="1" applyNumberFormat="1" applyFont="1" applyFill="1"/>
    <xf numFmtId="0" fontId="3" fillId="2" borderId="6" xfId="3" applyFont="1" applyFill="1" applyBorder="1" applyAlignment="1"/>
    <xf numFmtId="10" fontId="4" fillId="0" borderId="0" xfId="2" applyNumberFormat="1" applyFont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4" fillId="0" borderId="0" xfId="3" applyFont="1" applyFill="1"/>
    <xf numFmtId="170" fontId="3" fillId="0" borderId="0" xfId="7" applyNumberFormat="1" applyFont="1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170" fontId="3" fillId="0" borderId="3" xfId="7" applyNumberFormat="1" applyFont="1" applyFill="1" applyBorder="1" applyAlignment="1">
      <alignment horizontal="center" vertical="center"/>
    </xf>
    <xf numFmtId="170" fontId="3" fillId="0" borderId="5" xfId="7" applyNumberFormat="1" applyFont="1" applyFill="1" applyBorder="1" applyAlignment="1">
      <alignment horizontal="center" vertical="center"/>
    </xf>
    <xf numFmtId="170" fontId="3" fillId="0" borderId="27" xfId="7" applyNumberFormat="1" applyFont="1" applyFill="1" applyBorder="1" applyAlignment="1">
      <alignment horizontal="center" vertical="center"/>
    </xf>
    <xf numFmtId="170" fontId="3" fillId="0" borderId="19" xfId="7" applyNumberFormat="1" applyFont="1" applyFill="1" applyBorder="1" applyAlignment="1">
      <alignment horizontal="center" vertical="center" wrapText="1"/>
    </xf>
    <xf numFmtId="170" fontId="3" fillId="0" borderId="19" xfId="7" applyFont="1" applyFill="1" applyBorder="1" applyAlignment="1">
      <alignment horizontal="center" vertical="center"/>
    </xf>
    <xf numFmtId="170" fontId="3" fillId="0" borderId="21" xfId="7" applyNumberFormat="1" applyFont="1" applyFill="1" applyBorder="1" applyAlignment="1">
      <alignment horizontal="center" vertical="center"/>
    </xf>
    <xf numFmtId="170" fontId="3" fillId="0" borderId="26" xfId="7" applyNumberFormat="1" applyFont="1" applyFill="1" applyBorder="1" applyAlignment="1">
      <alignment horizontal="center" vertical="center"/>
    </xf>
    <xf numFmtId="0" fontId="3" fillId="2" borderId="36" xfId="3" applyFont="1" applyFill="1" applyBorder="1" applyAlignment="1"/>
    <xf numFmtId="170" fontId="3" fillId="2" borderId="3" xfId="7" applyNumberFormat="1" applyFont="1" applyFill="1" applyBorder="1" applyAlignment="1"/>
    <xf numFmtId="170" fontId="3" fillId="2" borderId="5" xfId="7" applyNumberFormat="1" applyFont="1" applyFill="1" applyBorder="1" applyAlignment="1"/>
    <xf numFmtId="170" fontId="3" fillId="2" borderId="22" xfId="7" applyNumberFormat="1" applyFont="1" applyFill="1" applyBorder="1" applyAlignment="1"/>
    <xf numFmtId="170" fontId="3" fillId="2" borderId="27" xfId="7" applyNumberFormat="1" applyFont="1" applyFill="1" applyBorder="1" applyAlignment="1"/>
    <xf numFmtId="10" fontId="3" fillId="2" borderId="27" xfId="2" applyNumberFormat="1" applyFont="1" applyFill="1" applyBorder="1" applyAlignment="1">
      <alignment horizontal="center"/>
    </xf>
    <xf numFmtId="170" fontId="4" fillId="0" borderId="7" xfId="7" applyNumberFormat="1" applyFont="1" applyFill="1" applyBorder="1" applyAlignment="1"/>
    <xf numFmtId="170" fontId="4" fillId="3" borderId="7" xfId="7" applyNumberFormat="1" applyFont="1" applyFill="1" applyBorder="1" applyAlignment="1"/>
    <xf numFmtId="170" fontId="4" fillId="0" borderId="10" xfId="7" applyNumberFormat="1" applyFont="1" applyBorder="1" applyAlignment="1"/>
    <xf numFmtId="170" fontId="4" fillId="0" borderId="12" xfId="7" applyNumberFormat="1" applyFont="1" applyBorder="1" applyAlignment="1"/>
    <xf numFmtId="170" fontId="4" fillId="0" borderId="13" xfId="7" applyNumberFormat="1" applyFont="1" applyBorder="1" applyAlignment="1"/>
    <xf numFmtId="10" fontId="4" fillId="0" borderId="13" xfId="2" applyNumberFormat="1" applyFont="1" applyBorder="1" applyAlignment="1">
      <alignment horizontal="center"/>
    </xf>
    <xf numFmtId="170" fontId="4" fillId="0" borderId="7" xfId="7" applyNumberFormat="1" applyFont="1" applyBorder="1" applyAlignment="1"/>
    <xf numFmtId="170" fontId="4" fillId="0" borderId="10" xfId="7" applyNumberFormat="1" applyFont="1" applyFill="1" applyBorder="1" applyAlignment="1"/>
    <xf numFmtId="170" fontId="4" fillId="0" borderId="12" xfId="7" applyNumberFormat="1" applyFont="1" applyFill="1" applyBorder="1" applyAlignment="1"/>
    <xf numFmtId="170" fontId="4" fillId="0" borderId="13" xfId="7" applyNumberFormat="1" applyFont="1" applyFill="1" applyBorder="1" applyAlignment="1"/>
    <xf numFmtId="10" fontId="4" fillId="0" borderId="13" xfId="2" applyNumberFormat="1" applyFont="1" applyFill="1" applyBorder="1" applyAlignment="1">
      <alignment horizontal="center"/>
    </xf>
    <xf numFmtId="170" fontId="3" fillId="2" borderId="7" xfId="7" applyNumberFormat="1" applyFont="1" applyFill="1" applyBorder="1" applyAlignment="1"/>
    <xf numFmtId="170" fontId="3" fillId="2" borderId="10" xfId="7" applyNumberFormat="1" applyFont="1" applyFill="1" applyBorder="1" applyAlignment="1"/>
    <xf numFmtId="170" fontId="3" fillId="2" borderId="12" xfId="7" applyNumberFormat="1" applyFont="1" applyFill="1" applyBorder="1" applyAlignment="1"/>
    <xf numFmtId="170" fontId="3" fillId="2" borderId="13" xfId="7" applyNumberFormat="1" applyFont="1" applyFill="1" applyBorder="1" applyAlignment="1"/>
    <xf numFmtId="10" fontId="3" fillId="2" borderId="13" xfId="2" applyNumberFormat="1" applyFont="1" applyFill="1" applyBorder="1" applyAlignment="1">
      <alignment horizontal="center"/>
    </xf>
    <xf numFmtId="170" fontId="4" fillId="0" borderId="7" xfId="7" applyNumberFormat="1" applyFont="1" applyBorder="1"/>
    <xf numFmtId="167" fontId="4" fillId="0" borderId="0" xfId="3" applyNumberFormat="1" applyFont="1" applyFill="1"/>
    <xf numFmtId="170" fontId="3" fillId="2" borderId="7" xfId="7" applyNumberFormat="1" applyFont="1" applyFill="1" applyBorder="1"/>
    <xf numFmtId="170" fontId="3" fillId="2" borderId="10" xfId="7" applyNumberFormat="1" applyFont="1" applyFill="1" applyBorder="1"/>
    <xf numFmtId="170" fontId="3" fillId="2" borderId="12" xfId="7" applyNumberFormat="1" applyFont="1" applyFill="1" applyBorder="1"/>
    <xf numFmtId="170" fontId="3" fillId="2" borderId="13" xfId="7" applyNumberFormat="1" applyFont="1" applyFill="1" applyBorder="1"/>
    <xf numFmtId="170" fontId="4" fillId="0" borderId="7" xfId="7" applyNumberFormat="1" applyFont="1" applyFill="1" applyBorder="1"/>
    <xf numFmtId="10" fontId="4" fillId="4" borderId="13" xfId="2" applyNumberFormat="1" applyFont="1" applyFill="1" applyBorder="1" applyAlignment="1">
      <alignment horizontal="center"/>
    </xf>
    <xf numFmtId="170" fontId="4" fillId="0" borderId="15" xfId="7" applyNumberFormat="1" applyFont="1" applyBorder="1"/>
    <xf numFmtId="170" fontId="4" fillId="3" borderId="15" xfId="7" applyNumberFormat="1" applyFont="1" applyFill="1" applyBorder="1" applyAlignment="1"/>
    <xf numFmtId="0" fontId="3" fillId="2" borderId="37" xfId="3" applyFont="1" applyFill="1" applyBorder="1" applyAlignment="1">
      <alignment horizontal="left" indent="1"/>
    </xf>
    <xf numFmtId="170" fontId="3" fillId="2" borderId="38" xfId="7" applyNumberFormat="1" applyFont="1" applyFill="1" applyBorder="1"/>
    <xf numFmtId="170" fontId="3" fillId="2" borderId="39" xfId="7" applyNumberFormat="1" applyFont="1" applyFill="1" applyBorder="1"/>
    <xf numFmtId="170" fontId="3" fillId="2" borderId="40" xfId="7" applyNumberFormat="1" applyFont="1" applyFill="1" applyBorder="1"/>
    <xf numFmtId="170" fontId="3" fillId="2" borderId="41" xfId="7" applyNumberFormat="1" applyFont="1" applyFill="1" applyBorder="1"/>
    <xf numFmtId="10" fontId="3" fillId="2" borderId="41" xfId="2" applyNumberFormat="1" applyFont="1" applyFill="1" applyBorder="1" applyAlignment="1">
      <alignment horizontal="center"/>
    </xf>
    <xf numFmtId="170" fontId="4" fillId="0" borderId="10" xfId="7" applyNumberFormat="1" applyFont="1" applyBorder="1"/>
    <xf numFmtId="170" fontId="4" fillId="0" borderId="12" xfId="7" applyNumberFormat="1" applyFont="1" applyBorder="1"/>
    <xf numFmtId="170" fontId="4" fillId="0" borderId="13" xfId="7" applyNumberFormat="1" applyFont="1" applyBorder="1"/>
    <xf numFmtId="0" fontId="3" fillId="2" borderId="6" xfId="3" applyFont="1" applyFill="1" applyBorder="1" applyAlignment="1">
      <alignment horizontal="left"/>
    </xf>
    <xf numFmtId="170" fontId="3" fillId="2" borderId="17" xfId="7" applyNumberFormat="1" applyFont="1" applyFill="1" applyBorder="1" applyAlignment="1"/>
    <xf numFmtId="170" fontId="3" fillId="2" borderId="25" xfId="7" applyNumberFormat="1" applyFont="1" applyFill="1" applyBorder="1" applyAlignment="1"/>
    <xf numFmtId="170" fontId="3" fillId="2" borderId="8" xfId="7" applyNumberFormat="1" applyFont="1" applyFill="1" applyBorder="1" applyAlignment="1"/>
    <xf numFmtId="170" fontId="3" fillId="2" borderId="9" xfId="7" applyNumberFormat="1" applyFont="1" applyFill="1" applyBorder="1" applyAlignment="1"/>
    <xf numFmtId="10" fontId="3" fillId="2" borderId="9" xfId="2" applyNumberFormat="1" applyFont="1" applyFill="1" applyBorder="1" applyAlignment="1">
      <alignment horizontal="center"/>
    </xf>
    <xf numFmtId="168" fontId="4" fillId="0" borderId="0" xfId="3" applyNumberFormat="1" applyFont="1" applyFill="1"/>
    <xf numFmtId="171" fontId="4" fillId="0" borderId="0" xfId="3" applyNumberFormat="1" applyFont="1" applyFill="1"/>
    <xf numFmtId="171" fontId="6" fillId="0" borderId="0" xfId="0" applyNumberFormat="1" applyFont="1" applyFill="1" applyBorder="1"/>
    <xf numFmtId="170" fontId="4" fillId="0" borderId="10" xfId="7" applyNumberFormat="1" applyFont="1" applyFill="1" applyBorder="1"/>
    <xf numFmtId="170" fontId="4" fillId="0" borderId="13" xfId="7" applyNumberFormat="1" applyFont="1" applyFill="1" applyBorder="1"/>
    <xf numFmtId="165" fontId="4" fillId="0" borderId="0" xfId="3" applyNumberFormat="1" applyFont="1" applyFill="1"/>
    <xf numFmtId="170" fontId="4" fillId="3" borderId="7" xfId="7" applyNumberFormat="1" applyFont="1" applyFill="1" applyBorder="1"/>
    <xf numFmtId="0" fontId="3" fillId="2" borderId="36" xfId="3" applyFont="1" applyFill="1" applyBorder="1"/>
    <xf numFmtId="170" fontId="3" fillId="2" borderId="3" xfId="7" applyNumberFormat="1" applyFont="1" applyFill="1" applyBorder="1"/>
    <xf numFmtId="170" fontId="3" fillId="2" borderId="5" xfId="7" applyNumberFormat="1" applyFont="1" applyFill="1" applyBorder="1"/>
    <xf numFmtId="170" fontId="3" fillId="2" borderId="22" xfId="7" applyNumberFormat="1" applyFont="1" applyFill="1" applyBorder="1"/>
    <xf numFmtId="170" fontId="3" fillId="2" borderId="27" xfId="7" applyNumberFormat="1" applyFont="1" applyFill="1" applyBorder="1"/>
    <xf numFmtId="170" fontId="3" fillId="2" borderId="19" xfId="7" applyNumberFormat="1" applyFont="1" applyFill="1" applyBorder="1"/>
    <xf numFmtId="170" fontId="3" fillId="2" borderId="21" xfId="7" applyNumberFormat="1" applyFont="1" applyFill="1" applyBorder="1"/>
    <xf numFmtId="170" fontId="3" fillId="2" borderId="20" xfId="7" applyNumberFormat="1" applyFont="1" applyFill="1" applyBorder="1"/>
    <xf numFmtId="170" fontId="3" fillId="2" borderId="26" xfId="7" applyNumberFormat="1" applyFont="1" applyFill="1" applyBorder="1"/>
    <xf numFmtId="10" fontId="3" fillId="2" borderId="26" xfId="2" applyNumberFormat="1" applyFont="1" applyFill="1" applyBorder="1" applyAlignment="1">
      <alignment horizontal="center"/>
    </xf>
    <xf numFmtId="170" fontId="4" fillId="0" borderId="0" xfId="7" applyNumberFormat="1" applyFont="1"/>
    <xf numFmtId="0" fontId="3" fillId="0" borderId="0" xfId="3" applyFont="1"/>
    <xf numFmtId="0" fontId="5" fillId="0" borderId="0" xfId="3" applyFont="1"/>
    <xf numFmtId="170" fontId="5" fillId="0" borderId="0" xfId="7" applyNumberFormat="1" applyFont="1"/>
    <xf numFmtId="10" fontId="5" fillId="0" borderId="0" xfId="2" applyNumberFormat="1" applyFont="1" applyAlignment="1">
      <alignment horizontal="center"/>
    </xf>
    <xf numFmtId="164" fontId="5" fillId="0" borderId="0" xfId="1" applyFont="1" applyFill="1"/>
    <xf numFmtId="168" fontId="5" fillId="0" borderId="0" xfId="1" applyNumberFormat="1" applyFont="1" applyFill="1"/>
    <xf numFmtId="0" fontId="5" fillId="0" borderId="0" xfId="3" applyFont="1" applyFill="1"/>
    <xf numFmtId="172" fontId="4" fillId="0" borderId="0" xfId="1" applyNumberFormat="1" applyFont="1"/>
    <xf numFmtId="172" fontId="4" fillId="0" borderId="0" xfId="6" applyNumberFormat="1" applyFont="1"/>
    <xf numFmtId="49" fontId="4" fillId="0" borderId="0" xfId="2" applyNumberFormat="1" applyFont="1"/>
    <xf numFmtId="172" fontId="3" fillId="0" borderId="5" xfId="6" applyNumberFormat="1" applyFont="1" applyFill="1" applyBorder="1" applyAlignment="1">
      <alignment horizontal="center" vertical="center"/>
    </xf>
    <xf numFmtId="172" fontId="3" fillId="0" borderId="42" xfId="6" applyNumberFormat="1" applyFont="1" applyFill="1" applyBorder="1" applyAlignment="1">
      <alignment horizontal="center" vertical="center"/>
    </xf>
    <xf numFmtId="172" fontId="3" fillId="0" borderId="43" xfId="6" applyNumberFormat="1" applyFont="1" applyFill="1" applyBorder="1" applyAlignment="1">
      <alignment horizontal="center" vertical="center"/>
    </xf>
    <xf numFmtId="172" fontId="3" fillId="0" borderId="27" xfId="6" applyNumberFormat="1" applyFont="1" applyFill="1" applyBorder="1" applyAlignment="1">
      <alignment horizontal="center" vertical="center"/>
    </xf>
    <xf numFmtId="172" fontId="3" fillId="0" borderId="22" xfId="6" applyNumberFormat="1" applyFont="1" applyFill="1" applyBorder="1" applyAlignment="1">
      <alignment horizontal="center" vertical="center"/>
    </xf>
    <xf numFmtId="172" fontId="3" fillId="0" borderId="21" xfId="6" applyNumberFormat="1" applyFont="1" applyFill="1" applyBorder="1" applyAlignment="1">
      <alignment horizontal="center" vertical="center"/>
    </xf>
    <xf numFmtId="172" fontId="3" fillId="0" borderId="44" xfId="6" applyNumberFormat="1" applyFont="1" applyFill="1" applyBorder="1" applyAlignment="1">
      <alignment horizontal="center" vertical="center"/>
    </xf>
    <xf numFmtId="172" fontId="3" fillId="0" borderId="45" xfId="6" applyNumberFormat="1" applyFont="1" applyFill="1" applyBorder="1" applyAlignment="1">
      <alignment horizontal="center" vertical="center"/>
    </xf>
    <xf numFmtId="172" fontId="3" fillId="0" borderId="29" xfId="6" applyNumberFormat="1" applyFont="1" applyFill="1" applyBorder="1" applyAlignment="1">
      <alignment horizontal="center" vertical="center"/>
    </xf>
    <xf numFmtId="172" fontId="3" fillId="0" borderId="20" xfId="6" applyNumberFormat="1" applyFont="1" applyFill="1" applyBorder="1" applyAlignment="1">
      <alignment horizontal="center" vertical="center"/>
    </xf>
    <xf numFmtId="172" fontId="3" fillId="0" borderId="46" xfId="6" applyNumberFormat="1" applyFont="1" applyFill="1" applyBorder="1" applyAlignment="1">
      <alignment horizontal="center" vertical="center"/>
    </xf>
    <xf numFmtId="172" fontId="3" fillId="0" borderId="47" xfId="6" applyNumberFormat="1" applyFont="1" applyFill="1" applyBorder="1" applyAlignment="1">
      <alignment horizontal="center" vertical="center"/>
    </xf>
    <xf numFmtId="172" fontId="3" fillId="2" borderId="25" xfId="6" applyNumberFormat="1" applyFont="1" applyFill="1" applyBorder="1" applyAlignment="1"/>
    <xf numFmtId="172" fontId="3" fillId="2" borderId="48" xfId="6" applyNumberFormat="1" applyFont="1" applyFill="1" applyBorder="1" applyAlignment="1"/>
    <xf numFmtId="172" fontId="3" fillId="2" borderId="49" xfId="6" applyNumberFormat="1" applyFont="1" applyFill="1" applyBorder="1" applyAlignment="1"/>
    <xf numFmtId="172" fontId="3" fillId="2" borderId="50" xfId="6" applyNumberFormat="1" applyFont="1" applyFill="1" applyBorder="1" applyAlignment="1"/>
    <xf numFmtId="172" fontId="3" fillId="2" borderId="43" xfId="6" applyNumberFormat="1" applyFont="1" applyFill="1" applyBorder="1" applyAlignment="1"/>
    <xf numFmtId="172" fontId="3" fillId="2" borderId="30" xfId="6" applyNumberFormat="1" applyFont="1" applyFill="1" applyBorder="1" applyAlignment="1"/>
    <xf numFmtId="172" fontId="3" fillId="2" borderId="22" xfId="6" applyNumberFormat="1" applyFont="1" applyFill="1" applyBorder="1" applyAlignment="1"/>
    <xf numFmtId="172" fontId="3" fillId="2" borderId="8" xfId="6" applyNumberFormat="1" applyFont="1" applyFill="1" applyBorder="1" applyAlignment="1"/>
    <xf numFmtId="172" fontId="3" fillId="2" borderId="51" xfId="6" applyNumberFormat="1" applyFont="1" applyFill="1" applyBorder="1" applyAlignment="1"/>
    <xf numFmtId="172" fontId="3" fillId="2" borderId="52" xfId="6" applyNumberFormat="1" applyFont="1" applyFill="1" applyBorder="1" applyAlignment="1"/>
    <xf numFmtId="172" fontId="3" fillId="2" borderId="27" xfId="6" applyNumberFormat="1" applyFont="1" applyFill="1" applyBorder="1" applyAlignment="1"/>
    <xf numFmtId="43" fontId="4" fillId="0" borderId="0" xfId="3" applyNumberFormat="1" applyFont="1"/>
    <xf numFmtId="172" fontId="4" fillId="0" borderId="0" xfId="3" applyNumberFormat="1" applyFont="1"/>
    <xf numFmtId="172" fontId="4" fillId="0" borderId="10" xfId="6" applyNumberFormat="1" applyFont="1" applyBorder="1" applyAlignment="1"/>
    <xf numFmtId="172" fontId="4" fillId="0" borderId="53" xfId="6" applyNumberFormat="1" applyFont="1" applyBorder="1" applyAlignment="1"/>
    <xf numFmtId="172" fontId="4" fillId="0" borderId="54" xfId="6" applyNumberFormat="1" applyFont="1" applyBorder="1" applyAlignment="1"/>
    <xf numFmtId="172" fontId="4" fillId="0" borderId="55" xfId="6" applyNumberFormat="1" applyFont="1" applyBorder="1" applyAlignment="1"/>
    <xf numFmtId="172" fontId="4" fillId="0" borderId="23" xfId="6" applyNumberFormat="1" applyFont="1" applyBorder="1" applyAlignment="1"/>
    <xf numFmtId="172" fontId="4" fillId="0" borderId="12" xfId="6" applyNumberFormat="1" applyFont="1" applyFill="1" applyBorder="1" applyAlignment="1"/>
    <xf numFmtId="172" fontId="4" fillId="0" borderId="56" xfId="6" applyNumberFormat="1" applyFont="1" applyBorder="1" applyAlignment="1"/>
    <xf numFmtId="172" fontId="4" fillId="0" borderId="56" xfId="6" applyNumberFormat="1" applyFont="1" applyFill="1" applyBorder="1" applyAlignment="1"/>
    <xf numFmtId="172" fontId="4" fillId="0" borderId="13" xfId="6" applyNumberFormat="1" applyFont="1" applyFill="1" applyBorder="1" applyAlignment="1"/>
    <xf numFmtId="172" fontId="4" fillId="0" borderId="12" xfId="6" applyNumberFormat="1" applyFont="1" applyBorder="1" applyAlignment="1"/>
    <xf numFmtId="172" fontId="4" fillId="0" borderId="57" xfId="6" applyNumberFormat="1" applyFont="1" applyBorder="1" applyAlignment="1"/>
    <xf numFmtId="172" fontId="4" fillId="0" borderId="10" xfId="6" applyNumberFormat="1" applyFont="1" applyFill="1" applyBorder="1" applyAlignment="1"/>
    <xf numFmtId="172" fontId="4" fillId="0" borderId="53" xfId="6" applyNumberFormat="1" applyFont="1" applyFill="1" applyBorder="1" applyAlignment="1"/>
    <xf numFmtId="172" fontId="4" fillId="0" borderId="54" xfId="6" applyNumberFormat="1" applyFont="1" applyFill="1" applyBorder="1" applyAlignment="1"/>
    <xf numFmtId="172" fontId="4" fillId="0" borderId="55" xfId="6" applyNumberFormat="1" applyFont="1" applyFill="1" applyBorder="1" applyAlignment="1"/>
    <xf numFmtId="172" fontId="4" fillId="0" borderId="23" xfId="6" applyNumberFormat="1" applyFont="1" applyFill="1" applyBorder="1" applyAlignment="1"/>
    <xf numFmtId="172" fontId="3" fillId="2" borderId="10" xfId="6" applyNumberFormat="1" applyFont="1" applyFill="1" applyBorder="1" applyAlignment="1"/>
    <xf numFmtId="172" fontId="3" fillId="2" borderId="53" xfId="6" applyNumberFormat="1" applyFont="1" applyFill="1" applyBorder="1" applyAlignment="1"/>
    <xf numFmtId="172" fontId="3" fillId="2" borderId="54" xfId="6" applyNumberFormat="1" applyFont="1" applyFill="1" applyBorder="1" applyAlignment="1"/>
    <xf numFmtId="172" fontId="3" fillId="2" borderId="55" xfId="6" applyNumberFormat="1" applyFont="1" applyFill="1" applyBorder="1" applyAlignment="1"/>
    <xf numFmtId="172" fontId="3" fillId="2" borderId="23" xfId="6" applyNumberFormat="1" applyFont="1" applyFill="1" applyBorder="1" applyAlignment="1"/>
    <xf numFmtId="172" fontId="3" fillId="2" borderId="12" xfId="6" applyNumberFormat="1" applyFont="1" applyFill="1" applyBorder="1" applyAlignment="1"/>
    <xf numFmtId="172" fontId="3" fillId="2" borderId="56" xfId="6" applyNumberFormat="1" applyFont="1" applyFill="1" applyBorder="1" applyAlignment="1"/>
    <xf numFmtId="172" fontId="3" fillId="2" borderId="57" xfId="6" applyNumberFormat="1" applyFont="1" applyFill="1" applyBorder="1" applyAlignment="1"/>
    <xf numFmtId="172" fontId="3" fillId="2" borderId="13" xfId="6" applyNumberFormat="1" applyFont="1" applyFill="1" applyBorder="1" applyAlignment="1"/>
    <xf numFmtId="172" fontId="4" fillId="0" borderId="48" xfId="6" applyNumberFormat="1" applyFont="1" applyBorder="1" applyAlignment="1"/>
    <xf numFmtId="172" fontId="4" fillId="0" borderId="49" xfId="6" applyNumberFormat="1" applyFont="1" applyBorder="1" applyAlignment="1"/>
    <xf numFmtId="172" fontId="4" fillId="0" borderId="50" xfId="6" applyNumberFormat="1" applyFont="1" applyBorder="1" applyAlignment="1"/>
    <xf numFmtId="172" fontId="4" fillId="0" borderId="30" xfId="6" applyNumberFormat="1" applyFont="1" applyFill="1" applyBorder="1" applyAlignment="1"/>
    <xf numFmtId="172" fontId="4" fillId="0" borderId="8" xfId="6" applyNumberFormat="1" applyFont="1" applyBorder="1" applyAlignment="1"/>
    <xf numFmtId="172" fontId="4" fillId="0" borderId="51" xfId="6" applyNumberFormat="1" applyFont="1" applyBorder="1" applyAlignment="1"/>
    <xf numFmtId="10" fontId="4" fillId="0" borderId="0" xfId="3" applyNumberFormat="1" applyFont="1"/>
    <xf numFmtId="172" fontId="4" fillId="0" borderId="58" xfId="6" applyNumberFormat="1" applyFont="1" applyBorder="1" applyAlignment="1"/>
    <xf numFmtId="172" fontId="4" fillId="0" borderId="59" xfId="6" applyNumberFormat="1" applyFont="1" applyBorder="1" applyAlignment="1"/>
    <xf numFmtId="172" fontId="4" fillId="0" borderId="60" xfId="6" applyNumberFormat="1" applyFont="1" applyBorder="1" applyAlignment="1"/>
    <xf numFmtId="172" fontId="4" fillId="0" borderId="31" xfId="6" applyNumberFormat="1" applyFont="1" applyBorder="1" applyAlignment="1"/>
    <xf numFmtId="172" fontId="4" fillId="0" borderId="16" xfId="6" applyNumberFormat="1" applyFont="1" applyBorder="1" applyAlignment="1"/>
    <xf numFmtId="172" fontId="4" fillId="0" borderId="61" xfId="6" applyNumberFormat="1" applyFont="1" applyBorder="1" applyAlignment="1"/>
    <xf numFmtId="172" fontId="3" fillId="2" borderId="12" xfId="6" applyNumberFormat="1" applyFont="1" applyFill="1" applyBorder="1"/>
    <xf numFmtId="172" fontId="3" fillId="2" borderId="13" xfId="6" applyNumberFormat="1" applyFont="1" applyFill="1" applyBorder="1"/>
    <xf numFmtId="172" fontId="4" fillId="0" borderId="30" xfId="6" applyNumberFormat="1" applyFont="1" applyBorder="1" applyAlignment="1"/>
    <xf numFmtId="172" fontId="4" fillId="0" borderId="57" xfId="6" applyNumberFormat="1" applyFont="1" applyFill="1" applyBorder="1" applyAlignment="1"/>
    <xf numFmtId="172" fontId="4" fillId="0" borderId="16" xfId="6" applyNumberFormat="1" applyFont="1" applyFill="1" applyBorder="1" applyAlignment="1"/>
    <xf numFmtId="172" fontId="3" fillId="2" borderId="39" xfId="6" applyNumberFormat="1" applyFont="1" applyFill="1" applyBorder="1"/>
    <xf numFmtId="172" fontId="3" fillId="2" borderId="62" xfId="6" applyNumberFormat="1" applyFont="1" applyFill="1" applyBorder="1"/>
    <xf numFmtId="172" fontId="3" fillId="2" borderId="63" xfId="6" applyNumberFormat="1" applyFont="1" applyFill="1" applyBorder="1"/>
    <xf numFmtId="172" fontId="3" fillId="2" borderId="64" xfId="6" applyNumberFormat="1" applyFont="1" applyFill="1" applyBorder="1"/>
    <xf numFmtId="172" fontId="3" fillId="2" borderId="65" xfId="6" applyNumberFormat="1" applyFont="1" applyFill="1" applyBorder="1"/>
    <xf numFmtId="172" fontId="3" fillId="2" borderId="40" xfId="6" applyNumberFormat="1" applyFont="1" applyFill="1" applyBorder="1"/>
    <xf numFmtId="172" fontId="3" fillId="2" borderId="66" xfId="6" applyNumberFormat="1" applyFont="1" applyFill="1" applyBorder="1"/>
    <xf numFmtId="172" fontId="3" fillId="2" borderId="67" xfId="6" applyNumberFormat="1" applyFont="1" applyFill="1" applyBorder="1"/>
    <xf numFmtId="172" fontId="3" fillId="2" borderId="41" xfId="6" applyNumberFormat="1" applyFont="1" applyFill="1" applyBorder="1"/>
    <xf numFmtId="172" fontId="4" fillId="0" borderId="25" xfId="6" applyNumberFormat="1" applyFont="1" applyBorder="1" applyAlignment="1"/>
    <xf numFmtId="172" fontId="4" fillId="0" borderId="8" xfId="6" applyNumberFormat="1" applyFont="1" applyBorder="1"/>
    <xf numFmtId="172" fontId="4" fillId="0" borderId="33" xfId="6" applyNumberFormat="1" applyFont="1" applyBorder="1" applyAlignment="1"/>
    <xf numFmtId="172" fontId="3" fillId="2" borderId="10" xfId="6" applyNumberFormat="1" applyFont="1" applyFill="1" applyBorder="1"/>
    <xf numFmtId="172" fontId="3" fillId="2" borderId="53" xfId="6" applyNumberFormat="1" applyFont="1" applyFill="1" applyBorder="1"/>
    <xf numFmtId="172" fontId="3" fillId="2" borderId="54" xfId="6" applyNumberFormat="1" applyFont="1" applyFill="1" applyBorder="1"/>
    <xf numFmtId="172" fontId="3" fillId="2" borderId="55" xfId="6" applyNumberFormat="1" applyFont="1" applyFill="1" applyBorder="1"/>
    <xf numFmtId="172" fontId="3" fillId="2" borderId="23" xfId="6" applyNumberFormat="1" applyFont="1" applyFill="1" applyBorder="1"/>
    <xf numFmtId="172" fontId="3" fillId="2" borderId="56" xfId="6" applyNumberFormat="1" applyFont="1" applyFill="1" applyBorder="1"/>
    <xf numFmtId="172" fontId="3" fillId="2" borderId="57" xfId="6" applyNumberFormat="1" applyFont="1" applyFill="1" applyBorder="1"/>
    <xf numFmtId="172" fontId="4" fillId="0" borderId="10" xfId="6" applyNumberFormat="1" applyFont="1" applyBorder="1"/>
    <xf numFmtId="172" fontId="4" fillId="0" borderId="48" xfId="6" applyNumberFormat="1" applyFont="1" applyBorder="1"/>
    <xf numFmtId="172" fontId="4" fillId="0" borderId="49" xfId="6" applyNumberFormat="1" applyFont="1" applyBorder="1"/>
    <xf numFmtId="172" fontId="4" fillId="0" borderId="50" xfId="6" applyNumberFormat="1" applyFont="1" applyBorder="1"/>
    <xf numFmtId="172" fontId="4" fillId="0" borderId="30" xfId="6" applyNumberFormat="1" applyFont="1" applyBorder="1"/>
    <xf numFmtId="172" fontId="4" fillId="0" borderId="51" xfId="6" applyNumberFormat="1" applyFont="1" applyBorder="1"/>
    <xf numFmtId="172" fontId="4" fillId="0" borderId="53" xfId="6" applyNumberFormat="1" applyFont="1" applyBorder="1"/>
    <xf numFmtId="172" fontId="4" fillId="0" borderId="54" xfId="6" applyNumberFormat="1" applyFont="1" applyBorder="1"/>
    <xf numFmtId="172" fontId="4" fillId="0" borderId="55" xfId="6" applyNumberFormat="1" applyFont="1" applyBorder="1"/>
    <xf numFmtId="172" fontId="4" fillId="0" borderId="23" xfId="6" applyNumberFormat="1" applyFont="1" applyBorder="1"/>
    <xf numFmtId="172" fontId="4" fillId="0" borderId="12" xfId="6" applyNumberFormat="1" applyFont="1" applyBorder="1"/>
    <xf numFmtId="172" fontId="4" fillId="0" borderId="56" xfId="6" applyNumberFormat="1" applyFont="1" applyBorder="1"/>
    <xf numFmtId="172" fontId="4" fillId="0" borderId="12" xfId="6" applyNumberFormat="1" applyFont="1" applyFill="1" applyBorder="1"/>
    <xf numFmtId="172" fontId="4" fillId="0" borderId="56" xfId="6" applyNumberFormat="1" applyFont="1" applyFill="1" applyBorder="1"/>
    <xf numFmtId="172" fontId="4" fillId="0" borderId="58" xfId="6" applyNumberFormat="1" applyFont="1" applyBorder="1"/>
    <xf numFmtId="172" fontId="4" fillId="0" borderId="59" xfId="6" applyNumberFormat="1" applyFont="1" applyBorder="1"/>
    <xf numFmtId="172" fontId="4" fillId="0" borderId="60" xfId="6" applyNumberFormat="1" applyFont="1" applyBorder="1"/>
    <xf numFmtId="172" fontId="4" fillId="0" borderId="31" xfId="6" applyNumberFormat="1" applyFont="1" applyBorder="1"/>
    <xf numFmtId="172" fontId="4" fillId="0" borderId="16" xfId="6" applyNumberFormat="1" applyFont="1" applyBorder="1"/>
    <xf numFmtId="172" fontId="4" fillId="0" borderId="61" xfId="6" applyNumberFormat="1" applyFont="1" applyBorder="1"/>
    <xf numFmtId="172" fontId="4" fillId="0" borderId="32" xfId="6" applyNumberFormat="1" applyFont="1" applyBorder="1" applyAlignment="1"/>
    <xf numFmtId="172" fontId="4" fillId="0" borderId="68" xfId="6" applyNumberFormat="1" applyFont="1" applyBorder="1" applyAlignment="1"/>
    <xf numFmtId="172" fontId="3" fillId="2" borderId="5" xfId="6" applyNumberFormat="1" applyFont="1" applyFill="1" applyBorder="1"/>
    <xf numFmtId="172" fontId="3" fillId="2" borderId="42" xfId="6" applyNumberFormat="1" applyFont="1" applyFill="1" applyBorder="1"/>
    <xf numFmtId="172" fontId="3" fillId="2" borderId="43" xfId="6" applyNumberFormat="1" applyFont="1" applyFill="1" applyBorder="1"/>
    <xf numFmtId="172" fontId="3" fillId="2" borderId="69" xfId="6" applyNumberFormat="1" applyFont="1" applyFill="1" applyBorder="1"/>
    <xf numFmtId="172" fontId="3" fillId="2" borderId="28" xfId="6" applyNumberFormat="1" applyFont="1" applyFill="1" applyBorder="1"/>
    <xf numFmtId="172" fontId="3" fillId="2" borderId="22" xfId="6" applyNumberFormat="1" applyFont="1" applyFill="1" applyBorder="1"/>
    <xf numFmtId="172" fontId="3" fillId="2" borderId="70" xfId="6" applyNumberFormat="1" applyFont="1" applyFill="1" applyBorder="1"/>
    <xf numFmtId="172" fontId="3" fillId="2" borderId="27" xfId="6" applyNumberFormat="1" applyFont="1" applyFill="1" applyBorder="1"/>
    <xf numFmtId="172" fontId="3" fillId="2" borderId="21" xfId="6" applyNumberFormat="1" applyFont="1" applyFill="1" applyBorder="1"/>
    <xf numFmtId="172" fontId="3" fillId="2" borderId="44" xfId="6" applyNumberFormat="1" applyFont="1" applyFill="1" applyBorder="1"/>
    <xf numFmtId="172" fontId="3" fillId="2" borderId="45" xfId="6" applyNumberFormat="1" applyFont="1" applyFill="1" applyBorder="1"/>
    <xf numFmtId="172" fontId="3" fillId="2" borderId="71" xfId="6" applyNumberFormat="1" applyFont="1" applyFill="1" applyBorder="1"/>
    <xf numFmtId="172" fontId="3" fillId="2" borderId="29" xfId="6" applyNumberFormat="1" applyFont="1" applyFill="1" applyBorder="1"/>
    <xf numFmtId="172" fontId="3" fillId="2" borderId="20" xfId="6" applyNumberFormat="1" applyFont="1" applyFill="1" applyBorder="1"/>
    <xf numFmtId="172" fontId="3" fillId="2" borderId="46" xfId="6" applyNumberFormat="1" applyFont="1" applyFill="1" applyBorder="1"/>
    <xf numFmtId="172" fontId="3" fillId="2" borderId="26" xfId="6" applyNumberFormat="1" applyFont="1" applyFill="1" applyBorder="1"/>
    <xf numFmtId="170" fontId="4" fillId="0" borderId="0" xfId="3" applyNumberFormat="1" applyFont="1" applyFill="1"/>
    <xf numFmtId="172" fontId="4" fillId="5" borderId="12" xfId="6" applyNumberFormat="1" applyFont="1" applyFill="1" applyBorder="1" applyAlignment="1"/>
    <xf numFmtId="172" fontId="4" fillId="5" borderId="8" xfId="6" applyNumberFormat="1" applyFont="1" applyFill="1" applyBorder="1" applyAlignment="1"/>
    <xf numFmtId="41" fontId="3" fillId="0" borderId="5" xfId="6" applyNumberFormat="1" applyFont="1" applyFill="1" applyBorder="1" applyAlignment="1">
      <alignment horizontal="center" vertical="center"/>
    </xf>
    <xf numFmtId="41" fontId="3" fillId="0" borderId="42" xfId="6" applyNumberFormat="1" applyFont="1" applyFill="1" applyBorder="1" applyAlignment="1">
      <alignment horizontal="center" vertical="center"/>
    </xf>
    <xf numFmtId="41" fontId="3" fillId="0" borderId="43" xfId="6" applyNumberFormat="1" applyFont="1" applyFill="1" applyBorder="1" applyAlignment="1">
      <alignment horizontal="center" vertical="center"/>
    </xf>
    <xf numFmtId="41" fontId="3" fillId="0" borderId="27" xfId="6" applyNumberFormat="1" applyFont="1" applyFill="1" applyBorder="1" applyAlignment="1">
      <alignment horizontal="center" vertical="center"/>
    </xf>
    <xf numFmtId="41" fontId="3" fillId="0" borderId="22" xfId="6" applyNumberFormat="1" applyFont="1" applyFill="1" applyBorder="1" applyAlignment="1">
      <alignment horizontal="center" vertical="center"/>
    </xf>
    <xf numFmtId="41" fontId="3" fillId="0" borderId="21" xfId="6" applyNumberFormat="1" applyFont="1" applyFill="1" applyBorder="1" applyAlignment="1">
      <alignment horizontal="center" vertical="center"/>
    </xf>
    <xf numFmtId="41" fontId="3" fillId="0" borderId="44" xfId="6" applyNumberFormat="1" applyFont="1" applyFill="1" applyBorder="1" applyAlignment="1">
      <alignment horizontal="center" vertical="center"/>
    </xf>
    <xf numFmtId="41" fontId="3" fillId="0" borderId="45" xfId="6" applyNumberFormat="1" applyFont="1" applyFill="1" applyBorder="1" applyAlignment="1">
      <alignment horizontal="center" vertical="center"/>
    </xf>
    <xf numFmtId="41" fontId="3" fillId="0" borderId="29" xfId="6" applyNumberFormat="1" applyFont="1" applyFill="1" applyBorder="1" applyAlignment="1">
      <alignment horizontal="center" vertical="center"/>
    </xf>
    <xf numFmtId="41" fontId="3" fillId="0" borderId="20" xfId="6" applyNumberFormat="1" applyFont="1" applyFill="1" applyBorder="1" applyAlignment="1">
      <alignment horizontal="center" vertical="center"/>
    </xf>
    <xf numFmtId="41" fontId="3" fillId="2" borderId="25" xfId="6" applyNumberFormat="1" applyFont="1" applyFill="1" applyBorder="1" applyAlignment="1"/>
    <xf numFmtId="41" fontId="3" fillId="2" borderId="48" xfId="6" applyNumberFormat="1" applyFont="1" applyFill="1" applyBorder="1" applyAlignment="1"/>
    <xf numFmtId="41" fontId="3" fillId="2" borderId="49" xfId="6" applyNumberFormat="1" applyFont="1" applyFill="1" applyBorder="1" applyAlignment="1"/>
    <xf numFmtId="41" fontId="3" fillId="2" borderId="50" xfId="6" applyNumberFormat="1" applyFont="1" applyFill="1" applyBorder="1" applyAlignment="1"/>
    <xf numFmtId="41" fontId="3" fillId="2" borderId="43" xfId="6" applyNumberFormat="1" applyFont="1" applyFill="1" applyBorder="1" applyAlignment="1"/>
    <xf numFmtId="41" fontId="3" fillId="2" borderId="30" xfId="6" applyNumberFormat="1" applyFont="1" applyFill="1" applyBorder="1" applyAlignment="1"/>
    <xf numFmtId="41" fontId="3" fillId="2" borderId="22" xfId="6" applyNumberFormat="1" applyFont="1" applyFill="1" applyBorder="1" applyAlignment="1"/>
    <xf numFmtId="41" fontId="4" fillId="0" borderId="10" xfId="6" applyNumberFormat="1" applyFont="1" applyBorder="1" applyAlignment="1"/>
    <xf numFmtId="41" fontId="4" fillId="0" borderId="53" xfId="6" applyNumberFormat="1" applyFont="1" applyBorder="1" applyAlignment="1"/>
    <xf numFmtId="41" fontId="4" fillId="0" borderId="54" xfId="6" applyNumberFormat="1" applyFont="1" applyBorder="1" applyAlignment="1"/>
    <xf numFmtId="41" fontId="4" fillId="0" borderId="55" xfId="6" applyNumberFormat="1" applyFont="1" applyBorder="1" applyAlignment="1"/>
    <xf numFmtId="41" fontId="4" fillId="0" borderId="23" xfId="6" applyNumberFormat="1" applyFont="1" applyBorder="1" applyAlignment="1"/>
    <xf numFmtId="41" fontId="4" fillId="0" borderId="12" xfId="6" applyNumberFormat="1" applyFont="1" applyFill="1" applyBorder="1" applyAlignment="1"/>
    <xf numFmtId="41" fontId="4" fillId="0" borderId="10" xfId="6" applyNumberFormat="1" applyFont="1" applyFill="1" applyBorder="1" applyAlignment="1"/>
    <xf numFmtId="41" fontId="4" fillId="0" borderId="53" xfId="6" applyNumberFormat="1" applyFont="1" applyFill="1" applyBorder="1" applyAlignment="1"/>
    <xf numFmtId="41" fontId="4" fillId="0" borderId="54" xfId="6" applyNumberFormat="1" applyFont="1" applyFill="1" applyBorder="1" applyAlignment="1"/>
    <xf numFmtId="41" fontId="4" fillId="0" borderId="55" xfId="6" applyNumberFormat="1" applyFont="1" applyFill="1" applyBorder="1" applyAlignment="1"/>
    <xf numFmtId="41" fontId="4" fillId="0" borderId="23" xfId="6" applyNumberFormat="1" applyFont="1" applyFill="1" applyBorder="1" applyAlignment="1"/>
    <xf numFmtId="41" fontId="3" fillId="2" borderId="10" xfId="6" applyNumberFormat="1" applyFont="1" applyFill="1" applyBorder="1" applyAlignment="1"/>
    <xf numFmtId="41" fontId="3" fillId="2" borderId="53" xfId="6" applyNumberFormat="1" applyFont="1" applyFill="1" applyBorder="1" applyAlignment="1"/>
    <xf numFmtId="41" fontId="3" fillId="2" borderId="54" xfId="6" applyNumberFormat="1" applyFont="1" applyFill="1" applyBorder="1" applyAlignment="1"/>
    <xf numFmtId="41" fontId="3" fillId="2" borderId="55" xfId="6" applyNumberFormat="1" applyFont="1" applyFill="1" applyBorder="1" applyAlignment="1"/>
    <xf numFmtId="41" fontId="3" fillId="2" borderId="23" xfId="6" applyNumberFormat="1" applyFont="1" applyFill="1" applyBorder="1" applyAlignment="1"/>
    <xf numFmtId="41" fontId="3" fillId="2" borderId="12" xfId="6" applyNumberFormat="1" applyFont="1" applyFill="1" applyBorder="1" applyAlignment="1"/>
    <xf numFmtId="41" fontId="4" fillId="0" borderId="12" xfId="6" applyNumberFormat="1" applyFont="1" applyBorder="1" applyAlignment="1"/>
    <xf numFmtId="41" fontId="4" fillId="0" borderId="48" xfId="6" applyNumberFormat="1" applyFont="1" applyBorder="1" applyAlignment="1"/>
    <xf numFmtId="41" fontId="4" fillId="0" borderId="49" xfId="6" applyNumberFormat="1" applyFont="1" applyBorder="1" applyAlignment="1"/>
    <xf numFmtId="41" fontId="4" fillId="0" borderId="50" xfId="6" applyNumberFormat="1" applyFont="1" applyBorder="1" applyAlignment="1"/>
    <xf numFmtId="41" fontId="4" fillId="0" borderId="30" xfId="6" applyNumberFormat="1" applyFont="1" applyFill="1" applyBorder="1" applyAlignment="1"/>
    <xf numFmtId="41" fontId="4" fillId="0" borderId="8" xfId="6" applyNumberFormat="1" applyFont="1" applyBorder="1" applyAlignment="1"/>
    <xf numFmtId="41" fontId="4" fillId="0" borderId="58" xfId="6" applyNumberFormat="1" applyFont="1" applyBorder="1" applyAlignment="1"/>
    <xf numFmtId="41" fontId="4" fillId="0" borderId="59" xfId="6" applyNumberFormat="1" applyFont="1" applyBorder="1" applyAlignment="1"/>
    <xf numFmtId="41" fontId="4" fillId="0" borderId="60" xfId="6" applyNumberFormat="1" applyFont="1" applyBorder="1" applyAlignment="1"/>
    <xf numFmtId="41" fontId="4" fillId="0" borderId="31" xfId="6" applyNumberFormat="1" applyFont="1" applyBorder="1" applyAlignment="1"/>
    <xf numFmtId="41" fontId="4" fillId="0" borderId="16" xfId="6" applyNumberFormat="1" applyFont="1" applyBorder="1" applyAlignment="1"/>
    <xf numFmtId="41" fontId="3" fillId="2" borderId="12" xfId="6" applyNumberFormat="1" applyFont="1" applyFill="1" applyBorder="1"/>
    <xf numFmtId="41" fontId="4" fillId="0" borderId="30" xfId="6" applyNumberFormat="1" applyFont="1" applyBorder="1" applyAlignment="1"/>
    <xf numFmtId="41" fontId="4" fillId="0" borderId="16" xfId="6" applyNumberFormat="1" applyFont="1" applyFill="1" applyBorder="1" applyAlignment="1"/>
    <xf numFmtId="41" fontId="3" fillId="2" borderId="39" xfId="6" applyNumberFormat="1" applyFont="1" applyFill="1" applyBorder="1"/>
    <xf numFmtId="41" fontId="3" fillId="2" borderId="62" xfId="6" applyNumberFormat="1" applyFont="1" applyFill="1" applyBorder="1"/>
    <xf numFmtId="41" fontId="3" fillId="2" borderId="63" xfId="6" applyNumberFormat="1" applyFont="1" applyFill="1" applyBorder="1"/>
    <xf numFmtId="41" fontId="3" fillId="2" borderId="64" xfId="6" applyNumberFormat="1" applyFont="1" applyFill="1" applyBorder="1"/>
    <xf numFmtId="41" fontId="3" fillId="2" borderId="65" xfId="6" applyNumberFormat="1" applyFont="1" applyFill="1" applyBorder="1"/>
    <xf numFmtId="41" fontId="3" fillId="2" borderId="40" xfId="6" applyNumberFormat="1" applyFont="1" applyFill="1" applyBorder="1"/>
    <xf numFmtId="41" fontId="4" fillId="0" borderId="25" xfId="6" applyNumberFormat="1" applyFont="1" applyBorder="1" applyAlignment="1"/>
    <xf numFmtId="41" fontId="4" fillId="0" borderId="8" xfId="6" applyNumberFormat="1" applyFont="1" applyBorder="1"/>
    <xf numFmtId="41" fontId="3" fillId="2" borderId="10" xfId="6" applyNumberFormat="1" applyFont="1" applyFill="1" applyBorder="1"/>
    <xf numFmtId="41" fontId="3" fillId="2" borderId="53" xfId="6" applyNumberFormat="1" applyFont="1" applyFill="1" applyBorder="1"/>
    <xf numFmtId="41" fontId="3" fillId="2" borderId="54" xfId="6" applyNumberFormat="1" applyFont="1" applyFill="1" applyBorder="1"/>
    <xf numFmtId="41" fontId="3" fillId="2" borderId="55" xfId="6" applyNumberFormat="1" applyFont="1" applyFill="1" applyBorder="1"/>
    <xf numFmtId="41" fontId="3" fillId="2" borderId="23" xfId="6" applyNumberFormat="1" applyFont="1" applyFill="1" applyBorder="1"/>
    <xf numFmtId="41" fontId="4" fillId="0" borderId="10" xfId="6" applyNumberFormat="1" applyFont="1" applyBorder="1"/>
    <xf numFmtId="41" fontId="4" fillId="0" borderId="48" xfId="6" applyNumberFormat="1" applyFont="1" applyBorder="1"/>
    <xf numFmtId="41" fontId="4" fillId="0" borderId="49" xfId="6" applyNumberFormat="1" applyFont="1" applyBorder="1"/>
    <xf numFmtId="41" fontId="4" fillId="0" borderId="50" xfId="6" applyNumberFormat="1" applyFont="1" applyBorder="1"/>
    <xf numFmtId="41" fontId="4" fillId="0" borderId="30" xfId="6" applyNumberFormat="1" applyFont="1" applyBorder="1"/>
    <xf numFmtId="41" fontId="4" fillId="0" borderId="53" xfId="6" applyNumberFormat="1" applyFont="1" applyBorder="1"/>
    <xf numFmtId="41" fontId="4" fillId="0" borderId="54" xfId="6" applyNumberFormat="1" applyFont="1" applyBorder="1"/>
    <xf numFmtId="41" fontId="4" fillId="0" borderId="55" xfId="6" applyNumberFormat="1" applyFont="1" applyBorder="1"/>
    <xf numFmtId="41" fontId="4" fillId="0" borderId="23" xfId="6" applyNumberFormat="1" applyFont="1" applyBorder="1"/>
    <xf numFmtId="41" fontId="4" fillId="0" borderId="12" xfId="6" applyNumberFormat="1" applyFont="1" applyBorder="1"/>
    <xf numFmtId="41" fontId="4" fillId="0" borderId="58" xfId="6" applyNumberFormat="1" applyFont="1" applyBorder="1"/>
    <xf numFmtId="41" fontId="4" fillId="0" borderId="59" xfId="6" applyNumberFormat="1" applyFont="1" applyBorder="1"/>
    <xf numFmtId="41" fontId="4" fillId="0" borderId="60" xfId="6" applyNumberFormat="1" applyFont="1" applyBorder="1"/>
    <xf numFmtId="41" fontId="4" fillId="0" borderId="31" xfId="6" applyNumberFormat="1" applyFont="1" applyBorder="1"/>
    <xf numFmtId="41" fontId="4" fillId="0" borderId="16" xfId="6" applyNumberFormat="1" applyFont="1" applyBorder="1"/>
    <xf numFmtId="41" fontId="4" fillId="0" borderId="32" xfId="6" applyNumberFormat="1" applyFont="1" applyBorder="1" applyAlignment="1"/>
    <xf numFmtId="41" fontId="3" fillId="2" borderId="5" xfId="6" applyNumberFormat="1" applyFont="1" applyFill="1" applyBorder="1"/>
    <xf numFmtId="41" fontId="3" fillId="2" borderId="42" xfId="6" applyNumberFormat="1" applyFont="1" applyFill="1" applyBorder="1"/>
    <xf numFmtId="41" fontId="3" fillId="2" borderId="43" xfId="6" applyNumberFormat="1" applyFont="1" applyFill="1" applyBorder="1"/>
    <xf numFmtId="41" fontId="3" fillId="2" borderId="69" xfId="6" applyNumberFormat="1" applyFont="1" applyFill="1" applyBorder="1"/>
    <xf numFmtId="41" fontId="3" fillId="2" borderId="28" xfId="6" applyNumberFormat="1" applyFont="1" applyFill="1" applyBorder="1"/>
    <xf numFmtId="41" fontId="3" fillId="2" borderId="22" xfId="6" applyNumberFormat="1" applyFont="1" applyFill="1" applyBorder="1"/>
    <xf numFmtId="41" fontId="3" fillId="2" borderId="21" xfId="6" applyNumberFormat="1" applyFont="1" applyFill="1" applyBorder="1"/>
    <xf numFmtId="41" fontId="3" fillId="2" borderId="44" xfId="6" applyNumberFormat="1" applyFont="1" applyFill="1" applyBorder="1"/>
    <xf numFmtId="41" fontId="3" fillId="2" borderId="45" xfId="6" applyNumberFormat="1" applyFont="1" applyFill="1" applyBorder="1"/>
    <xf numFmtId="41" fontId="3" fillId="2" borderId="71" xfId="6" applyNumberFormat="1" applyFont="1" applyFill="1" applyBorder="1"/>
    <xf numFmtId="41" fontId="3" fillId="2" borderId="29" xfId="6" applyNumberFormat="1" applyFont="1" applyFill="1" applyBorder="1"/>
    <xf numFmtId="41" fontId="3" fillId="2" borderId="20" xfId="6" applyNumberFormat="1" applyFont="1" applyFill="1" applyBorder="1"/>
    <xf numFmtId="41" fontId="4" fillId="0" borderId="0" xfId="6" applyNumberFormat="1" applyFont="1"/>
    <xf numFmtId="41" fontId="3" fillId="0" borderId="46" xfId="6" applyNumberFormat="1" applyFont="1" applyFill="1" applyBorder="1" applyAlignment="1">
      <alignment horizontal="center" vertical="center"/>
    </xf>
    <xf numFmtId="41" fontId="3" fillId="0" borderId="47" xfId="6" applyNumberFormat="1" applyFont="1" applyFill="1" applyBorder="1" applyAlignment="1">
      <alignment horizontal="center" vertical="center"/>
    </xf>
    <xf numFmtId="41" fontId="3" fillId="2" borderId="8" xfId="6" applyNumberFormat="1" applyFont="1" applyFill="1" applyBorder="1" applyAlignment="1"/>
    <xf numFmtId="41" fontId="3" fillId="2" borderId="51" xfId="6" applyNumberFormat="1" applyFont="1" applyFill="1" applyBorder="1" applyAlignment="1"/>
    <xf numFmtId="41" fontId="3" fillId="2" borderId="52" xfId="6" applyNumberFormat="1" applyFont="1" applyFill="1" applyBorder="1" applyAlignment="1"/>
    <xf numFmtId="41" fontId="3" fillId="2" borderId="27" xfId="6" applyNumberFormat="1" applyFont="1" applyFill="1" applyBorder="1" applyAlignment="1"/>
    <xf numFmtId="41" fontId="4" fillId="0" borderId="56" xfId="6" applyNumberFormat="1" applyFont="1" applyBorder="1" applyAlignment="1"/>
    <xf numFmtId="41" fontId="4" fillId="0" borderId="56" xfId="6" applyNumberFormat="1" applyFont="1" applyFill="1" applyBorder="1" applyAlignment="1"/>
    <xf numFmtId="41" fontId="4" fillId="0" borderId="13" xfId="6" applyNumberFormat="1" applyFont="1" applyFill="1" applyBorder="1" applyAlignment="1"/>
    <xf numFmtId="41" fontId="4" fillId="0" borderId="57" xfId="6" applyNumberFormat="1" applyFont="1" applyBorder="1" applyAlignment="1"/>
    <xf numFmtId="41" fontId="3" fillId="2" borderId="56" xfId="6" applyNumberFormat="1" applyFont="1" applyFill="1" applyBorder="1" applyAlignment="1"/>
    <xf numFmtId="41" fontId="3" fillId="2" borderId="57" xfId="6" applyNumberFormat="1" applyFont="1" applyFill="1" applyBorder="1" applyAlignment="1"/>
    <xf numFmtId="41" fontId="3" fillId="2" borderId="13" xfId="6" applyNumberFormat="1" applyFont="1" applyFill="1" applyBorder="1" applyAlignment="1"/>
    <xf numFmtId="41" fontId="4" fillId="0" borderId="51" xfId="6" applyNumberFormat="1" applyFont="1" applyBorder="1" applyAlignment="1"/>
    <xf numFmtId="41" fontId="4" fillId="0" borderId="61" xfId="6" applyNumberFormat="1" applyFont="1" applyBorder="1" applyAlignment="1"/>
    <xf numFmtId="41" fontId="3" fillId="2" borderId="13" xfId="6" applyNumberFormat="1" applyFont="1" applyFill="1" applyBorder="1"/>
    <xf numFmtId="41" fontId="4" fillId="0" borderId="57" xfId="6" applyNumberFormat="1" applyFont="1" applyFill="1" applyBorder="1" applyAlignment="1"/>
    <xf numFmtId="41" fontId="3" fillId="2" borderId="66" xfId="6" applyNumberFormat="1" applyFont="1" applyFill="1" applyBorder="1"/>
    <xf numFmtId="41" fontId="3" fillId="2" borderId="67" xfId="6" applyNumberFormat="1" applyFont="1" applyFill="1" applyBorder="1"/>
    <xf numFmtId="41" fontId="3" fillId="2" borderId="41" xfId="6" applyNumberFormat="1" applyFont="1" applyFill="1" applyBorder="1"/>
    <xf numFmtId="41" fontId="4" fillId="0" borderId="33" xfId="6" applyNumberFormat="1" applyFont="1" applyBorder="1" applyAlignment="1"/>
    <xf numFmtId="41" fontId="3" fillId="2" borderId="56" xfId="6" applyNumberFormat="1" applyFont="1" applyFill="1" applyBorder="1"/>
    <xf numFmtId="41" fontId="3" fillId="2" borderId="57" xfId="6" applyNumberFormat="1" applyFont="1" applyFill="1" applyBorder="1"/>
    <xf numFmtId="41" fontId="4" fillId="0" borderId="51" xfId="6" applyNumberFormat="1" applyFont="1" applyBorder="1"/>
    <xf numFmtId="41" fontId="4" fillId="0" borderId="56" xfId="6" applyNumberFormat="1" applyFont="1" applyBorder="1"/>
    <xf numFmtId="41" fontId="4" fillId="0" borderId="12" xfId="6" applyNumberFormat="1" applyFont="1" applyFill="1" applyBorder="1"/>
    <xf numFmtId="41" fontId="4" fillId="0" borderId="56" xfId="6" applyNumberFormat="1" applyFont="1" applyFill="1" applyBorder="1"/>
    <xf numFmtId="41" fontId="4" fillId="0" borderId="61" xfId="6" applyNumberFormat="1" applyFont="1" applyBorder="1"/>
    <xf numFmtId="41" fontId="4" fillId="0" borderId="68" xfId="6" applyNumberFormat="1" applyFont="1" applyBorder="1" applyAlignment="1"/>
    <xf numFmtId="41" fontId="3" fillId="2" borderId="70" xfId="6" applyNumberFormat="1" applyFont="1" applyFill="1" applyBorder="1"/>
    <xf numFmtId="41" fontId="3" fillId="2" borderId="27" xfId="6" applyNumberFormat="1" applyFont="1" applyFill="1" applyBorder="1"/>
    <xf numFmtId="41" fontId="3" fillId="2" borderId="46" xfId="6" applyNumberFormat="1" applyFont="1" applyFill="1" applyBorder="1"/>
    <xf numFmtId="41" fontId="3" fillId="2" borderId="26" xfId="6" applyNumberFormat="1" applyFont="1" applyFill="1" applyBorder="1"/>
    <xf numFmtId="41" fontId="4" fillId="0" borderId="0" xfId="2" applyNumberFormat="1" applyFont="1"/>
    <xf numFmtId="10" fontId="5" fillId="0" borderId="0" xfId="2" applyNumberFormat="1" applyFont="1"/>
    <xf numFmtId="0" fontId="3" fillId="0" borderId="2" xfId="3" applyFont="1" applyFill="1" applyBorder="1" applyAlignment="1">
      <alignment horizontal="center" vertical="center"/>
    </xf>
    <xf numFmtId="0" fontId="3" fillId="0" borderId="34" xfId="3" applyFont="1" applyFill="1" applyBorder="1" applyAlignment="1">
      <alignment horizontal="center" vertical="center"/>
    </xf>
    <xf numFmtId="170" fontId="3" fillId="0" borderId="4" xfId="7" applyNumberFormat="1" applyFont="1" applyFill="1" applyBorder="1" applyAlignment="1">
      <alignment horizontal="center" vertical="center"/>
    </xf>
    <xf numFmtId="170" fontId="3" fillId="0" borderId="35" xfId="7" applyNumberFormat="1" applyFont="1" applyFill="1" applyBorder="1" applyAlignment="1">
      <alignment horizontal="center" vertical="center"/>
    </xf>
    <xf numFmtId="10" fontId="3" fillId="0" borderId="4" xfId="2" applyNumberFormat="1" applyFont="1" applyFill="1" applyBorder="1" applyAlignment="1">
      <alignment horizontal="center" vertical="center"/>
    </xf>
    <xf numFmtId="10" fontId="3" fillId="0" borderId="35" xfId="2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169" fontId="3" fillId="0" borderId="0" xfId="5" applyNumberFormat="1" applyFont="1" applyBorder="1" applyAlignment="1">
      <alignment horizontal="center"/>
    </xf>
    <xf numFmtId="0" fontId="3" fillId="0" borderId="24" xfId="3" applyFont="1" applyBorder="1" applyAlignment="1">
      <alignment horizontal="center"/>
    </xf>
  </cellXfs>
  <cellStyles count="8">
    <cellStyle name="Millares" xfId="1" builtinId="3"/>
    <cellStyle name="Millares [0]" xfId="6" builtinId="6"/>
    <cellStyle name="Millares [0] 3" xfId="7"/>
    <cellStyle name="Millares 2" xfId="4"/>
    <cellStyle name="Moneda 2 2" xfId="5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UERDOS%2017%20AL%20JUNTA%2014%20DE%20DICIEMBRE%20DE%202016\Cierre%20definitivo%20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OORDINACI&#211;N%20PRESUPUESTO%20Y%20GESTI&#211;N%20CALIDAD/CONTROL%20PRESUPUESTAL/Presupuesto%202020/TRIMESTRES/CUARTO%20TRIMESTRE/3ER%204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OORDINACI&#211;N%20PRESUPUESTAL/CONTROL%20PRESUPUESTAL/Presupuesto%202020/CIERRE%20Cuarto%20Trimest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OORDINACI&#211;N%20PRESUPUESTAL/INFORMES%20DE%20GESTI&#211;N/INFORME%20GESTI&#211;N%20VIGENCIA%202020/ANEXOS/BALANCE%20Y%20PYG%20DICIEMBRE%202020%20comparativo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COORDINACI&#211;N%20PRESUPUESTAL/CONTROL%20PRESUPUESTAL/Presupuesto%202020/CONCILIACION%20CONTABLE/ACTIVOS%20FIJOS%20con%20corte%20a%203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P 2016 CIERRE ACDO 13"/>
      <sheetName val="Nomina 2015"/>
      <sheetName val="RECAUDO OK"/>
      <sheetName val="SISTEMAS DE INFORMACIÓN OK "/>
      <sheetName val="ASISTENCIA TÉCNICA OK"/>
      <sheetName val="FERIAS GASTRONOMICAS OK"/>
      <sheetName val="SAC"/>
      <sheetName val="FUNCIONAMIENTO OK"/>
      <sheetName val="Nomina 2016 "/>
    </sheetNames>
    <sheetDataSet>
      <sheetData sheetId="0"/>
      <sheetData sheetId="1"/>
      <sheetData sheetId="2">
        <row r="58">
          <cell r="M58">
            <v>42370</v>
          </cell>
        </row>
        <row r="59">
          <cell r="M59">
            <v>42400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acuerdo 24-2019"/>
      <sheetName val="NOMINA ipc def"/>
      <sheetName val="INGRESOS 3 Y 4 TRIM"/>
      <sheetName val="CIERRE PROY 3ER TRIM"/>
      <sheetName val="DEVOLUCION AÑO X PROY"/>
      <sheetName val="ADICION AÑO"/>
      <sheetName val="SOL 4TO TRIM"/>
      <sheetName val="FUNCIONAMIENTO "/>
      <sheetName val="RECAUDO "/>
      <sheetName val="SISTEMAS DE INF "/>
      <sheetName val="MECANISMO DE DEFENSA"/>
      <sheetName val="SEMINARIO INTERNACIONAL"/>
      <sheetName val="ITPA"/>
      <sheetName val="PREVALENCIA Verticillium-POD"/>
      <sheetName val="MEJORAMIENTO GENETICO"/>
      <sheetName val="PROMOCION AL CONSUMO"/>
      <sheetName val="ASOCIATIV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V8">
            <v>11540358</v>
          </cell>
        </row>
        <row r="9">
          <cell r="V9">
            <v>480849</v>
          </cell>
        </row>
        <row r="11">
          <cell r="V11">
            <v>988839</v>
          </cell>
        </row>
        <row r="12">
          <cell r="V12">
            <v>988839</v>
          </cell>
        </row>
        <row r="14">
          <cell r="V14">
            <v>979483</v>
          </cell>
        </row>
        <row r="15">
          <cell r="V15">
            <v>1383983</v>
          </cell>
        </row>
        <row r="16">
          <cell r="V16">
            <v>60100</v>
          </cell>
        </row>
        <row r="17">
          <cell r="V17">
            <v>533300</v>
          </cell>
        </row>
        <row r="18">
          <cell r="V18">
            <v>400200</v>
          </cell>
        </row>
        <row r="19">
          <cell r="V19">
            <v>267300</v>
          </cell>
        </row>
        <row r="22">
          <cell r="V22">
            <v>22420800</v>
          </cell>
        </row>
        <row r="24">
          <cell r="V24">
            <v>0</v>
          </cell>
        </row>
        <row r="32">
          <cell r="V32">
            <v>5300000</v>
          </cell>
        </row>
        <row r="34">
          <cell r="V34">
            <v>0</v>
          </cell>
        </row>
        <row r="39">
          <cell r="V39">
            <v>1060941</v>
          </cell>
        </row>
        <row r="40">
          <cell r="V40">
            <v>0</v>
          </cell>
        </row>
        <row r="42">
          <cell r="V42">
            <v>4000000</v>
          </cell>
        </row>
      </sheetData>
      <sheetData sheetId="8" refreshError="1">
        <row r="8">
          <cell r="V8">
            <v>85303105</v>
          </cell>
        </row>
        <row r="9">
          <cell r="V9">
            <v>3149540</v>
          </cell>
        </row>
        <row r="11">
          <cell r="V11">
            <v>6902463</v>
          </cell>
        </row>
        <row r="12">
          <cell r="V12">
            <v>6772641</v>
          </cell>
        </row>
        <row r="14">
          <cell r="V14">
            <v>7322226</v>
          </cell>
        </row>
        <row r="15">
          <cell r="V15">
            <v>9867244</v>
          </cell>
        </row>
        <row r="16">
          <cell r="V16">
            <v>915900</v>
          </cell>
        </row>
        <row r="17">
          <cell r="V17">
            <v>3791500</v>
          </cell>
        </row>
        <row r="18">
          <cell r="V18">
            <v>2845600</v>
          </cell>
        </row>
        <row r="19">
          <cell r="V19">
            <v>1900400</v>
          </cell>
        </row>
        <row r="20">
          <cell r="V20">
            <v>10000000</v>
          </cell>
        </row>
        <row r="23">
          <cell r="V23">
            <v>5390000</v>
          </cell>
        </row>
        <row r="38">
          <cell r="V38">
            <v>1500000</v>
          </cell>
        </row>
        <row r="41">
          <cell r="V41">
            <v>21648658</v>
          </cell>
        </row>
        <row r="52">
          <cell r="V52">
            <v>3536880</v>
          </cell>
        </row>
        <row r="53">
          <cell r="V53">
            <v>1565662</v>
          </cell>
        </row>
        <row r="54">
          <cell r="V54">
            <v>38600520</v>
          </cell>
        </row>
        <row r="58">
          <cell r="V58">
            <v>0</v>
          </cell>
        </row>
        <row r="65">
          <cell r="V65">
            <v>1438227</v>
          </cell>
        </row>
        <row r="71">
          <cell r="V71">
            <v>7846142</v>
          </cell>
        </row>
        <row r="73">
          <cell r="V73">
            <v>323800</v>
          </cell>
        </row>
      </sheetData>
      <sheetData sheetId="9" refreshError="1">
        <row r="9">
          <cell r="V9">
            <v>646126</v>
          </cell>
        </row>
        <row r="11">
          <cell r="V11">
            <v>1292254</v>
          </cell>
        </row>
        <row r="12">
          <cell r="V12">
            <v>1292254</v>
          </cell>
        </row>
        <row r="14">
          <cell r="V14">
            <v>1643147</v>
          </cell>
        </row>
        <row r="15">
          <cell r="V15">
            <v>1859709</v>
          </cell>
        </row>
        <row r="16">
          <cell r="V16">
            <v>242600</v>
          </cell>
        </row>
        <row r="17">
          <cell r="V17">
            <v>695800</v>
          </cell>
        </row>
        <row r="18">
          <cell r="V18">
            <v>522400</v>
          </cell>
        </row>
        <row r="19">
          <cell r="V19">
            <v>347900</v>
          </cell>
        </row>
        <row r="21">
          <cell r="V21">
            <v>495000</v>
          </cell>
        </row>
        <row r="29">
          <cell r="V29">
            <v>590000</v>
          </cell>
        </row>
        <row r="33">
          <cell r="V33">
            <v>500000</v>
          </cell>
        </row>
        <row r="36">
          <cell r="V36">
            <v>4152000</v>
          </cell>
        </row>
        <row r="38">
          <cell r="V38">
            <v>0</v>
          </cell>
        </row>
        <row r="40">
          <cell r="V40">
            <v>0</v>
          </cell>
        </row>
        <row r="44">
          <cell r="V44">
            <v>0</v>
          </cell>
        </row>
      </sheetData>
      <sheetData sheetId="10" refreshError="1">
        <row r="9">
          <cell r="N9">
            <v>32011000</v>
          </cell>
        </row>
      </sheetData>
      <sheetData sheetId="11" refreshError="1"/>
      <sheetData sheetId="12" refreshError="1">
        <row r="9">
          <cell r="V9">
            <v>4663010</v>
          </cell>
        </row>
        <row r="11">
          <cell r="V11">
            <v>9396878</v>
          </cell>
        </row>
        <row r="12">
          <cell r="V12">
            <v>9352836</v>
          </cell>
        </row>
        <row r="14">
          <cell r="V14">
            <v>9549707</v>
          </cell>
        </row>
        <row r="15">
          <cell r="V15">
            <v>13494097</v>
          </cell>
        </row>
        <row r="16">
          <cell r="V16">
            <v>2705900</v>
          </cell>
        </row>
        <row r="17">
          <cell r="V17">
            <v>5138500</v>
          </cell>
        </row>
        <row r="18">
          <cell r="V18">
            <v>3846600</v>
          </cell>
        </row>
        <row r="19">
          <cell r="V19">
            <v>2568100</v>
          </cell>
        </row>
        <row r="26">
          <cell r="V26">
            <v>0</v>
          </cell>
        </row>
        <row r="31">
          <cell r="V31">
            <v>13970000</v>
          </cell>
        </row>
        <row r="40">
          <cell r="V40">
            <v>400000</v>
          </cell>
        </row>
        <row r="48">
          <cell r="V48">
            <v>0</v>
          </cell>
        </row>
        <row r="50">
          <cell r="V50">
            <v>2387500</v>
          </cell>
        </row>
        <row r="53">
          <cell r="V53">
            <v>603362</v>
          </cell>
        </row>
        <row r="56">
          <cell r="V56">
            <v>32000000</v>
          </cell>
        </row>
        <row r="61">
          <cell r="V61">
            <v>1090000</v>
          </cell>
        </row>
        <row r="62">
          <cell r="V62">
            <v>750000</v>
          </cell>
        </row>
        <row r="65">
          <cell r="V65">
            <v>20000000</v>
          </cell>
        </row>
        <row r="67">
          <cell r="V67">
            <v>388113</v>
          </cell>
        </row>
        <row r="70">
          <cell r="V70">
            <v>0</v>
          </cell>
        </row>
        <row r="75">
          <cell r="V75">
            <v>4304000</v>
          </cell>
        </row>
      </sheetData>
      <sheetData sheetId="13" refreshError="1">
        <row r="7">
          <cell r="W7">
            <v>23700000</v>
          </cell>
        </row>
        <row r="11">
          <cell r="W11">
            <v>1411956</v>
          </cell>
        </row>
        <row r="13">
          <cell r="W13">
            <v>1050000</v>
          </cell>
        </row>
        <row r="16">
          <cell r="W16">
            <v>520000</v>
          </cell>
        </row>
        <row r="20">
          <cell r="W20">
            <v>6000000</v>
          </cell>
        </row>
        <row r="21">
          <cell r="W21">
            <v>6000000</v>
          </cell>
        </row>
        <row r="22">
          <cell r="W22">
            <v>17500000</v>
          </cell>
        </row>
        <row r="23">
          <cell r="W23">
            <v>21000000</v>
          </cell>
        </row>
        <row r="24">
          <cell r="W24">
            <v>5400000</v>
          </cell>
        </row>
        <row r="25">
          <cell r="W25">
            <v>3000000</v>
          </cell>
        </row>
      </sheetData>
      <sheetData sheetId="14" refreshError="1">
        <row r="8">
          <cell r="V8">
            <v>6700000</v>
          </cell>
        </row>
        <row r="11">
          <cell r="V11">
            <v>1568840</v>
          </cell>
        </row>
        <row r="13">
          <cell r="V13">
            <v>0</v>
          </cell>
        </row>
        <row r="15">
          <cell r="V15">
            <v>25000000</v>
          </cell>
        </row>
        <row r="20">
          <cell r="V20">
            <v>2500000</v>
          </cell>
        </row>
        <row r="22">
          <cell r="V22">
            <v>520000</v>
          </cell>
        </row>
        <row r="27">
          <cell r="V27">
            <v>21800000</v>
          </cell>
        </row>
        <row r="28">
          <cell r="V28">
            <v>5000000</v>
          </cell>
        </row>
      </sheetData>
      <sheetData sheetId="15" refreshError="1">
        <row r="9">
          <cell r="V9">
            <v>953165</v>
          </cell>
        </row>
        <row r="11">
          <cell r="V11">
            <v>1906331</v>
          </cell>
        </row>
        <row r="12">
          <cell r="V12">
            <v>1906331</v>
          </cell>
        </row>
        <row r="14">
          <cell r="V14">
            <v>1943655</v>
          </cell>
        </row>
        <row r="15">
          <cell r="V15">
            <v>2743545</v>
          </cell>
        </row>
        <row r="16">
          <cell r="V16">
            <v>198300</v>
          </cell>
        </row>
        <row r="17">
          <cell r="V17">
            <v>1045300</v>
          </cell>
        </row>
        <row r="18">
          <cell r="V18">
            <v>784400</v>
          </cell>
        </row>
        <row r="19">
          <cell r="V19">
            <v>522600</v>
          </cell>
        </row>
        <row r="21">
          <cell r="V21">
            <v>0</v>
          </cell>
        </row>
        <row r="27">
          <cell r="Y27">
            <v>0</v>
          </cell>
        </row>
        <row r="30">
          <cell r="V30">
            <v>0</v>
          </cell>
        </row>
        <row r="32">
          <cell r="V32">
            <v>0</v>
          </cell>
        </row>
        <row r="36">
          <cell r="V36">
            <v>120000</v>
          </cell>
        </row>
        <row r="39">
          <cell r="V39">
            <v>736797654</v>
          </cell>
        </row>
        <row r="44">
          <cell r="V44">
            <v>108350000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acuerdo 24-2019"/>
      <sheetName val="NOMINA ipc def"/>
      <sheetName val="SOLICITUD 4TO TRIM"/>
      <sheetName val="FUNCIONAMIENTO "/>
      <sheetName val="RECAUDO "/>
      <sheetName val="SISTEMAS DE INF "/>
      <sheetName val="MECANISMO DE DEFENSA"/>
      <sheetName val="ITPA"/>
      <sheetName val="Verticillium-POD"/>
      <sheetName val="MEJORAMIENTO GENETICO"/>
      <sheetName val="PROMOCION AL CONSUMO"/>
    </sheetNames>
    <sheetDataSet>
      <sheetData sheetId="0" refreshError="1"/>
      <sheetData sheetId="1" refreshError="1"/>
      <sheetData sheetId="2" refreshError="1"/>
      <sheetData sheetId="3">
        <row r="70">
          <cell r="I70">
            <v>10932966</v>
          </cell>
        </row>
        <row r="75">
          <cell r="I75">
            <v>455540</v>
          </cell>
        </row>
        <row r="80">
          <cell r="I80">
            <v>308562</v>
          </cell>
        </row>
        <row r="85">
          <cell r="I85">
            <v>936795</v>
          </cell>
        </row>
        <row r="90">
          <cell r="I90">
            <v>22420800</v>
          </cell>
        </row>
        <row r="99">
          <cell r="I99">
            <v>936794</v>
          </cell>
        </row>
        <row r="104">
          <cell r="I104">
            <v>126967</v>
          </cell>
        </row>
        <row r="109">
          <cell r="I109">
            <v>929781</v>
          </cell>
        </row>
        <row r="114">
          <cell r="I114">
            <v>1312281</v>
          </cell>
        </row>
        <row r="119">
          <cell r="I119">
            <v>57300</v>
          </cell>
        </row>
        <row r="124">
          <cell r="I124">
            <v>509200</v>
          </cell>
        </row>
        <row r="129">
          <cell r="I129">
            <v>382000</v>
          </cell>
        </row>
        <row r="134">
          <cell r="I134">
            <v>254700</v>
          </cell>
        </row>
        <row r="140">
          <cell r="I140">
            <v>0</v>
          </cell>
        </row>
        <row r="143">
          <cell r="I143">
            <v>5172470</v>
          </cell>
        </row>
        <row r="149">
          <cell r="I149">
            <v>0</v>
          </cell>
        </row>
        <row r="152">
          <cell r="I152">
            <v>0</v>
          </cell>
        </row>
        <row r="157">
          <cell r="I157">
            <v>1060941</v>
          </cell>
        </row>
        <row r="162">
          <cell r="I162">
            <v>0</v>
          </cell>
        </row>
        <row r="165">
          <cell r="I165">
            <v>727784</v>
          </cell>
        </row>
        <row r="175">
          <cell r="I175">
            <v>96500</v>
          </cell>
        </row>
        <row r="180">
          <cell r="I180">
            <v>0</v>
          </cell>
        </row>
        <row r="202">
          <cell r="I202">
            <v>9042651</v>
          </cell>
        </row>
      </sheetData>
      <sheetData sheetId="4">
        <row r="79">
          <cell r="I79">
            <v>78388930</v>
          </cell>
        </row>
        <row r="84">
          <cell r="I84">
            <v>3302999</v>
          </cell>
        </row>
        <row r="89">
          <cell r="I89">
            <v>610267</v>
          </cell>
        </row>
        <row r="94">
          <cell r="I94">
            <v>6382629</v>
          </cell>
        </row>
        <row r="99">
          <cell r="I99">
            <v>6250000</v>
          </cell>
        </row>
        <row r="109">
          <cell r="I109">
            <v>6382626</v>
          </cell>
        </row>
        <row r="114">
          <cell r="I114">
            <v>1305642</v>
          </cell>
        </row>
        <row r="119">
          <cell r="I119">
            <v>6770272</v>
          </cell>
        </row>
        <row r="124">
          <cell r="I124">
            <v>9092838</v>
          </cell>
        </row>
        <row r="129">
          <cell r="I129">
            <v>725900</v>
          </cell>
        </row>
        <row r="134">
          <cell r="I134">
            <v>3528100</v>
          </cell>
        </row>
        <row r="139">
          <cell r="I139">
            <v>2646200</v>
          </cell>
        </row>
        <row r="144">
          <cell r="I144">
            <v>1765400</v>
          </cell>
        </row>
        <row r="150">
          <cell r="I150">
            <v>5390000</v>
          </cell>
        </row>
        <row r="155">
          <cell r="I155">
            <v>1065000.06</v>
          </cell>
        </row>
        <row r="161">
          <cell r="I161">
            <v>21632733.91</v>
          </cell>
        </row>
        <row r="185">
          <cell r="I185">
            <v>3223896</v>
          </cell>
        </row>
        <row r="196">
          <cell r="I196">
            <v>3536880</v>
          </cell>
        </row>
        <row r="201">
          <cell r="I201">
            <v>1565662</v>
          </cell>
        </row>
        <row r="207">
          <cell r="I207">
            <v>10925378</v>
          </cell>
        </row>
        <row r="236">
          <cell r="I236">
            <v>0</v>
          </cell>
        </row>
        <row r="253">
          <cell r="I253">
            <v>491550</v>
          </cell>
        </row>
        <row r="261">
          <cell r="I261">
            <v>7683925</v>
          </cell>
        </row>
        <row r="266">
          <cell r="I266">
            <v>506318</v>
          </cell>
        </row>
        <row r="274">
          <cell r="I274">
            <v>321200</v>
          </cell>
        </row>
      </sheetData>
      <sheetData sheetId="5">
        <row r="50">
          <cell r="I50">
            <v>15676716</v>
          </cell>
        </row>
        <row r="55">
          <cell r="I55">
            <v>543471</v>
          </cell>
        </row>
        <row r="63">
          <cell r="I63">
            <v>1086943</v>
          </cell>
        </row>
        <row r="68">
          <cell r="I68">
            <v>0</v>
          </cell>
        </row>
        <row r="74">
          <cell r="I74">
            <v>1086943</v>
          </cell>
        </row>
        <row r="79">
          <cell r="I79">
            <v>184056</v>
          </cell>
        </row>
        <row r="84">
          <cell r="I84">
            <v>1438167</v>
          </cell>
        </row>
        <row r="89">
          <cell r="I89">
            <v>1565733</v>
          </cell>
        </row>
        <row r="94">
          <cell r="I94">
            <v>150000</v>
          </cell>
        </row>
        <row r="99">
          <cell r="I99">
            <v>594200</v>
          </cell>
        </row>
        <row r="104">
          <cell r="I104">
            <v>445600</v>
          </cell>
        </row>
        <row r="109">
          <cell r="I109">
            <v>297100</v>
          </cell>
        </row>
        <row r="115">
          <cell r="I115">
            <v>230531</v>
          </cell>
        </row>
        <row r="119">
          <cell r="I119">
            <v>354403.7</v>
          </cell>
        </row>
        <row r="128">
          <cell r="I128">
            <v>264933</v>
          </cell>
        </row>
        <row r="139">
          <cell r="I139">
            <v>3950000</v>
          </cell>
        </row>
        <row r="142">
          <cell r="I142">
            <v>0</v>
          </cell>
        </row>
      </sheetData>
      <sheetData sheetId="6">
        <row r="15">
          <cell r="I15">
            <v>32011000</v>
          </cell>
        </row>
      </sheetData>
      <sheetData sheetId="7">
        <row r="81">
          <cell r="I81">
            <v>88894228</v>
          </cell>
        </row>
        <row r="86">
          <cell r="I86">
            <v>3703921</v>
          </cell>
        </row>
        <row r="91">
          <cell r="I91">
            <v>308562</v>
          </cell>
        </row>
        <row r="96">
          <cell r="I96">
            <v>7433566</v>
          </cell>
        </row>
        <row r="101">
          <cell r="I101">
            <v>0</v>
          </cell>
        </row>
        <row r="107">
          <cell r="I107">
            <v>7433563</v>
          </cell>
        </row>
        <row r="112">
          <cell r="I112">
            <v>1333142</v>
          </cell>
        </row>
        <row r="117">
          <cell r="I117">
            <v>7559324</v>
          </cell>
        </row>
        <row r="122">
          <cell r="I122">
            <v>10670090</v>
          </cell>
        </row>
        <row r="127">
          <cell r="I127">
            <v>1919200</v>
          </cell>
        </row>
        <row r="132">
          <cell r="I132">
            <v>4142900</v>
          </cell>
        </row>
        <row r="137">
          <cell r="I137">
            <v>3108000</v>
          </cell>
        </row>
        <row r="142">
          <cell r="I142">
            <v>2072100</v>
          </cell>
        </row>
        <row r="148">
          <cell r="I148">
            <v>0</v>
          </cell>
        </row>
        <row r="151">
          <cell r="I151">
            <v>1635390</v>
          </cell>
        </row>
        <row r="193">
          <cell r="I193">
            <v>0</v>
          </cell>
        </row>
        <row r="197">
          <cell r="I197">
            <v>572666</v>
          </cell>
        </row>
        <row r="202">
          <cell r="I202">
            <v>0</v>
          </cell>
        </row>
        <row r="206">
          <cell r="I206">
            <v>2080399</v>
          </cell>
        </row>
        <row r="211">
          <cell r="I211">
            <v>22199299</v>
          </cell>
        </row>
        <row r="230">
          <cell r="I230">
            <v>1090000</v>
          </cell>
        </row>
        <row r="235">
          <cell r="I235">
            <v>747577</v>
          </cell>
        </row>
        <row r="246">
          <cell r="I246">
            <v>0</v>
          </cell>
        </row>
        <row r="249">
          <cell r="I249">
            <v>148002</v>
          </cell>
        </row>
        <row r="258">
          <cell r="I258">
            <v>0</v>
          </cell>
        </row>
        <row r="261">
          <cell r="I261">
            <v>0</v>
          </cell>
        </row>
        <row r="264">
          <cell r="I264">
            <v>0</v>
          </cell>
        </row>
        <row r="268">
          <cell r="I268">
            <v>0</v>
          </cell>
        </row>
      </sheetData>
      <sheetData sheetId="8">
        <row r="32">
          <cell r="I32">
            <v>22112823</v>
          </cell>
        </row>
        <row r="48">
          <cell r="I48">
            <v>0</v>
          </cell>
        </row>
        <row r="51">
          <cell r="I51">
            <v>75000</v>
          </cell>
        </row>
        <row r="57">
          <cell r="I57">
            <v>1050000</v>
          </cell>
        </row>
        <row r="64">
          <cell r="I64">
            <v>4151246</v>
          </cell>
        </row>
        <row r="70">
          <cell r="I70">
            <v>0</v>
          </cell>
        </row>
        <row r="76">
          <cell r="I76">
            <v>17482500</v>
          </cell>
        </row>
        <row r="82">
          <cell r="I82">
            <v>221436</v>
          </cell>
        </row>
        <row r="89">
          <cell r="I89">
            <v>0</v>
          </cell>
        </row>
        <row r="95">
          <cell r="I95">
            <v>0</v>
          </cell>
        </row>
        <row r="101">
          <cell r="I101">
            <v>0</v>
          </cell>
        </row>
      </sheetData>
      <sheetData sheetId="9">
        <row r="34">
          <cell r="I34">
            <v>6638994</v>
          </cell>
        </row>
        <row r="44">
          <cell r="I44">
            <v>249900</v>
          </cell>
        </row>
        <row r="48">
          <cell r="I48">
            <v>440000</v>
          </cell>
        </row>
        <row r="53">
          <cell r="I53">
            <v>9102350</v>
          </cell>
        </row>
        <row r="59">
          <cell r="I59">
            <v>0</v>
          </cell>
        </row>
        <row r="63">
          <cell r="I63">
            <v>1710000</v>
          </cell>
        </row>
        <row r="81">
          <cell r="I81">
            <v>2711841</v>
          </cell>
        </row>
      </sheetData>
      <sheetData sheetId="10">
        <row r="51">
          <cell r="I51">
            <v>19732182</v>
          </cell>
        </row>
        <row r="56">
          <cell r="I56">
            <v>822174</v>
          </cell>
        </row>
        <row r="64">
          <cell r="I64">
            <v>1644350</v>
          </cell>
        </row>
        <row r="69">
          <cell r="I69">
            <v>0</v>
          </cell>
        </row>
        <row r="75">
          <cell r="I75">
            <v>1644349</v>
          </cell>
        </row>
        <row r="80">
          <cell r="I80">
            <v>328498</v>
          </cell>
        </row>
        <row r="85">
          <cell r="I85">
            <v>1677612</v>
          </cell>
        </row>
        <row r="90">
          <cell r="I90">
            <v>2368578</v>
          </cell>
        </row>
        <row r="95">
          <cell r="I95">
            <v>171300</v>
          </cell>
        </row>
        <row r="100">
          <cell r="I100">
            <v>915500</v>
          </cell>
        </row>
        <row r="105">
          <cell r="I105">
            <v>686700</v>
          </cell>
        </row>
        <row r="110">
          <cell r="I110">
            <v>457800</v>
          </cell>
        </row>
        <row r="116">
          <cell r="I116">
            <v>0</v>
          </cell>
        </row>
        <row r="120">
          <cell r="I120">
            <v>0</v>
          </cell>
        </row>
        <row r="127">
          <cell r="I127">
            <v>0</v>
          </cell>
        </row>
        <row r="130">
          <cell r="I130">
            <v>0</v>
          </cell>
        </row>
        <row r="136">
          <cell r="I136">
            <v>0</v>
          </cell>
        </row>
        <row r="140">
          <cell r="I140">
            <v>736717398.08000004</v>
          </cell>
        </row>
        <row r="167">
          <cell r="I167">
            <v>108350000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INGRESOS"/>
      <sheetName val="Hoja5"/>
      <sheetName val="ESTPG01"/>
      <sheetName val="BCE MARZ"/>
      <sheetName val="ESTPGO3"/>
      <sheetName val="BCE MAY01"/>
      <sheetName val="ESTP0501"/>
      <sheetName val="BALANCE FNFP"/>
      <sheetName val="ESTADO DE RESULTADOS FNFP"/>
      <sheetName val="TABLAS DE LAS NOTAS"/>
      <sheetName val="F.08 MARZO"/>
      <sheetName val="ESTADO DE RESULTADOS FNFP ( (4"/>
      <sheetName val="NOTAS"/>
      <sheetName val="BAL F.08 03 2020"/>
      <sheetName val="PCSP GR4"/>
      <sheetName val="PUCC GRUPOS"/>
      <sheetName val="BAL F.08 12 2020 (2)"/>
      <sheetName val="BALANCE  DICIEMBRE 2019"/>
      <sheetName val="ESTADO DE RESULTADOS DICIEMBRE"/>
      <sheetName val="F.08,2019  12 2019"/>
      <sheetName val="TABLAS DE NOTAS "/>
      <sheetName val="F.08,2019  09 2019 (2)"/>
      <sheetName val="BALANCE FNFP (3)"/>
      <sheetName val="Hoja4"/>
      <sheetName val="DETALLE AJUSTE NICSP"/>
      <sheetName val="ESTADO DE RESULTADOS FNFP ( (3)"/>
      <sheetName val="INDICADORES"/>
      <sheetName val="BALANCE FNFP (2)"/>
      <sheetName val="ESTADO DE RESULTADOS FNFP (2)"/>
      <sheetName val="BCE JUL01"/>
      <sheetName val="ESTP07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4229223421</v>
          </cell>
        </row>
      </sheetData>
      <sheetData sheetId="14"/>
      <sheetData sheetId="15"/>
      <sheetData sheetId="16"/>
      <sheetData sheetId="17"/>
      <sheetData sheetId="18">
        <row r="157">
          <cell r="P157">
            <v>41439682</v>
          </cell>
        </row>
        <row r="158">
          <cell r="P158">
            <v>2945600</v>
          </cell>
        </row>
        <row r="159">
          <cell r="P159">
            <v>16266020</v>
          </cell>
        </row>
        <row r="160">
          <cell r="P160">
            <v>13704601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ÑO 2020 "/>
    </sheetNames>
    <sheetDataSet>
      <sheetData sheetId="0"/>
      <sheetData sheetId="1">
        <row r="29">
          <cell r="Q29">
            <v>76131106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V115"/>
  <sheetViews>
    <sheetView topLeftCell="B68" workbookViewId="0">
      <selection activeCell="B2" sqref="B2:V104"/>
    </sheetView>
  </sheetViews>
  <sheetFormatPr baseColWidth="10" defaultRowHeight="15.75" outlineLevelCol="1" x14ac:dyDescent="0.25"/>
  <cols>
    <col min="1" max="1" width="0.7109375" style="1" hidden="1" customWidth="1"/>
    <col min="2" max="2" width="37.85546875" style="1" bestFit="1" customWidth="1"/>
    <col min="3" max="3" width="18" style="96" customWidth="1" outlineLevel="1"/>
    <col min="4" max="4" width="17.140625" style="96" customWidth="1" outlineLevel="1"/>
    <col min="5" max="5" width="17" style="96" customWidth="1" outlineLevel="1"/>
    <col min="6" max="8" width="17.7109375" style="96" customWidth="1"/>
    <col min="9" max="9" width="10.140625" style="19" customWidth="1"/>
    <col min="10" max="10" width="20.28515625" style="16" hidden="1" customWidth="1"/>
    <col min="11" max="11" width="18" style="16" hidden="1" customWidth="1"/>
    <col min="12" max="12" width="14.85546875" style="17" hidden="1" customWidth="1"/>
    <col min="13" max="14" width="14.85546875" style="22" customWidth="1"/>
    <col min="15" max="17" width="14.85546875" style="22" bestFit="1" customWidth="1"/>
    <col min="18" max="64" width="11.42578125" style="22"/>
    <col min="65" max="256" width="11.42578125" style="1"/>
    <col min="257" max="257" width="0" style="1" hidden="1" customWidth="1"/>
    <col min="258" max="258" width="37.85546875" style="1" bestFit="1" customWidth="1"/>
    <col min="259" max="261" width="0" style="1" hidden="1" customWidth="1"/>
    <col min="262" max="264" width="17.7109375" style="1" customWidth="1"/>
    <col min="265" max="265" width="10.140625" style="1" customWidth="1"/>
    <col min="266" max="266" width="20.28515625" style="1" customWidth="1"/>
    <col min="267" max="267" width="18" style="1" bestFit="1" customWidth="1"/>
    <col min="268" max="270" width="14.85546875" style="1" customWidth="1"/>
    <col min="271" max="273" width="14.85546875" style="1" bestFit="1" customWidth="1"/>
    <col min="274" max="512" width="11.42578125" style="1"/>
    <col min="513" max="513" width="0" style="1" hidden="1" customWidth="1"/>
    <col min="514" max="514" width="37.85546875" style="1" bestFit="1" customWidth="1"/>
    <col min="515" max="517" width="0" style="1" hidden="1" customWidth="1"/>
    <col min="518" max="520" width="17.7109375" style="1" customWidth="1"/>
    <col min="521" max="521" width="10.140625" style="1" customWidth="1"/>
    <col min="522" max="522" width="20.28515625" style="1" customWidth="1"/>
    <col min="523" max="523" width="18" style="1" bestFit="1" customWidth="1"/>
    <col min="524" max="526" width="14.85546875" style="1" customWidth="1"/>
    <col min="527" max="529" width="14.85546875" style="1" bestFit="1" customWidth="1"/>
    <col min="530" max="768" width="11.42578125" style="1"/>
    <col min="769" max="769" width="0" style="1" hidden="1" customWidth="1"/>
    <col min="770" max="770" width="37.85546875" style="1" bestFit="1" customWidth="1"/>
    <col min="771" max="773" width="0" style="1" hidden="1" customWidth="1"/>
    <col min="774" max="776" width="17.7109375" style="1" customWidth="1"/>
    <col min="777" max="777" width="10.140625" style="1" customWidth="1"/>
    <col min="778" max="778" width="20.28515625" style="1" customWidth="1"/>
    <col min="779" max="779" width="18" style="1" bestFit="1" customWidth="1"/>
    <col min="780" max="782" width="14.85546875" style="1" customWidth="1"/>
    <col min="783" max="785" width="14.85546875" style="1" bestFit="1" customWidth="1"/>
    <col min="786" max="1024" width="11.42578125" style="1"/>
    <col min="1025" max="1025" width="0" style="1" hidden="1" customWidth="1"/>
    <col min="1026" max="1026" width="37.85546875" style="1" bestFit="1" customWidth="1"/>
    <col min="1027" max="1029" width="0" style="1" hidden="1" customWidth="1"/>
    <col min="1030" max="1032" width="17.7109375" style="1" customWidth="1"/>
    <col min="1033" max="1033" width="10.140625" style="1" customWidth="1"/>
    <col min="1034" max="1034" width="20.28515625" style="1" customWidth="1"/>
    <col min="1035" max="1035" width="18" style="1" bestFit="1" customWidth="1"/>
    <col min="1036" max="1038" width="14.85546875" style="1" customWidth="1"/>
    <col min="1039" max="1041" width="14.85546875" style="1" bestFit="1" customWidth="1"/>
    <col min="1042" max="1280" width="11.42578125" style="1"/>
    <col min="1281" max="1281" width="0" style="1" hidden="1" customWidth="1"/>
    <col min="1282" max="1282" width="37.85546875" style="1" bestFit="1" customWidth="1"/>
    <col min="1283" max="1285" width="0" style="1" hidden="1" customWidth="1"/>
    <col min="1286" max="1288" width="17.7109375" style="1" customWidth="1"/>
    <col min="1289" max="1289" width="10.140625" style="1" customWidth="1"/>
    <col min="1290" max="1290" width="20.28515625" style="1" customWidth="1"/>
    <col min="1291" max="1291" width="18" style="1" bestFit="1" customWidth="1"/>
    <col min="1292" max="1294" width="14.85546875" style="1" customWidth="1"/>
    <col min="1295" max="1297" width="14.85546875" style="1" bestFit="1" customWidth="1"/>
    <col min="1298" max="1536" width="11.42578125" style="1"/>
    <col min="1537" max="1537" width="0" style="1" hidden="1" customWidth="1"/>
    <col min="1538" max="1538" width="37.85546875" style="1" bestFit="1" customWidth="1"/>
    <col min="1539" max="1541" width="0" style="1" hidden="1" customWidth="1"/>
    <col min="1542" max="1544" width="17.7109375" style="1" customWidth="1"/>
    <col min="1545" max="1545" width="10.140625" style="1" customWidth="1"/>
    <col min="1546" max="1546" width="20.28515625" style="1" customWidth="1"/>
    <col min="1547" max="1547" width="18" style="1" bestFit="1" customWidth="1"/>
    <col min="1548" max="1550" width="14.85546875" style="1" customWidth="1"/>
    <col min="1551" max="1553" width="14.85546875" style="1" bestFit="1" customWidth="1"/>
    <col min="1554" max="1792" width="11.42578125" style="1"/>
    <col min="1793" max="1793" width="0" style="1" hidden="1" customWidth="1"/>
    <col min="1794" max="1794" width="37.85546875" style="1" bestFit="1" customWidth="1"/>
    <col min="1795" max="1797" width="0" style="1" hidden="1" customWidth="1"/>
    <col min="1798" max="1800" width="17.7109375" style="1" customWidth="1"/>
    <col min="1801" max="1801" width="10.140625" style="1" customWidth="1"/>
    <col min="1802" max="1802" width="20.28515625" style="1" customWidth="1"/>
    <col min="1803" max="1803" width="18" style="1" bestFit="1" customWidth="1"/>
    <col min="1804" max="1806" width="14.85546875" style="1" customWidth="1"/>
    <col min="1807" max="1809" width="14.85546875" style="1" bestFit="1" customWidth="1"/>
    <col min="1810" max="2048" width="11.42578125" style="1"/>
    <col min="2049" max="2049" width="0" style="1" hidden="1" customWidth="1"/>
    <col min="2050" max="2050" width="37.85546875" style="1" bestFit="1" customWidth="1"/>
    <col min="2051" max="2053" width="0" style="1" hidden="1" customWidth="1"/>
    <col min="2054" max="2056" width="17.7109375" style="1" customWidth="1"/>
    <col min="2057" max="2057" width="10.140625" style="1" customWidth="1"/>
    <col min="2058" max="2058" width="20.28515625" style="1" customWidth="1"/>
    <col min="2059" max="2059" width="18" style="1" bestFit="1" customWidth="1"/>
    <col min="2060" max="2062" width="14.85546875" style="1" customWidth="1"/>
    <col min="2063" max="2065" width="14.85546875" style="1" bestFit="1" customWidth="1"/>
    <col min="2066" max="2304" width="11.42578125" style="1"/>
    <col min="2305" max="2305" width="0" style="1" hidden="1" customWidth="1"/>
    <col min="2306" max="2306" width="37.85546875" style="1" bestFit="1" customWidth="1"/>
    <col min="2307" max="2309" width="0" style="1" hidden="1" customWidth="1"/>
    <col min="2310" max="2312" width="17.7109375" style="1" customWidth="1"/>
    <col min="2313" max="2313" width="10.140625" style="1" customWidth="1"/>
    <col min="2314" max="2314" width="20.28515625" style="1" customWidth="1"/>
    <col min="2315" max="2315" width="18" style="1" bestFit="1" customWidth="1"/>
    <col min="2316" max="2318" width="14.85546875" style="1" customWidth="1"/>
    <col min="2319" max="2321" width="14.85546875" style="1" bestFit="1" customWidth="1"/>
    <col min="2322" max="2560" width="11.42578125" style="1"/>
    <col min="2561" max="2561" width="0" style="1" hidden="1" customWidth="1"/>
    <col min="2562" max="2562" width="37.85546875" style="1" bestFit="1" customWidth="1"/>
    <col min="2563" max="2565" width="0" style="1" hidden="1" customWidth="1"/>
    <col min="2566" max="2568" width="17.7109375" style="1" customWidth="1"/>
    <col min="2569" max="2569" width="10.140625" style="1" customWidth="1"/>
    <col min="2570" max="2570" width="20.28515625" style="1" customWidth="1"/>
    <col min="2571" max="2571" width="18" style="1" bestFit="1" customWidth="1"/>
    <col min="2572" max="2574" width="14.85546875" style="1" customWidth="1"/>
    <col min="2575" max="2577" width="14.85546875" style="1" bestFit="1" customWidth="1"/>
    <col min="2578" max="2816" width="11.42578125" style="1"/>
    <col min="2817" max="2817" width="0" style="1" hidden="1" customWidth="1"/>
    <col min="2818" max="2818" width="37.85546875" style="1" bestFit="1" customWidth="1"/>
    <col min="2819" max="2821" width="0" style="1" hidden="1" customWidth="1"/>
    <col min="2822" max="2824" width="17.7109375" style="1" customWidth="1"/>
    <col min="2825" max="2825" width="10.140625" style="1" customWidth="1"/>
    <col min="2826" max="2826" width="20.28515625" style="1" customWidth="1"/>
    <col min="2827" max="2827" width="18" style="1" bestFit="1" customWidth="1"/>
    <col min="2828" max="2830" width="14.85546875" style="1" customWidth="1"/>
    <col min="2831" max="2833" width="14.85546875" style="1" bestFit="1" customWidth="1"/>
    <col min="2834" max="3072" width="11.42578125" style="1"/>
    <col min="3073" max="3073" width="0" style="1" hidden="1" customWidth="1"/>
    <col min="3074" max="3074" width="37.85546875" style="1" bestFit="1" customWidth="1"/>
    <col min="3075" max="3077" width="0" style="1" hidden="1" customWidth="1"/>
    <col min="3078" max="3080" width="17.7109375" style="1" customWidth="1"/>
    <col min="3081" max="3081" width="10.140625" style="1" customWidth="1"/>
    <col min="3082" max="3082" width="20.28515625" style="1" customWidth="1"/>
    <col min="3083" max="3083" width="18" style="1" bestFit="1" customWidth="1"/>
    <col min="3084" max="3086" width="14.85546875" style="1" customWidth="1"/>
    <col min="3087" max="3089" width="14.85546875" style="1" bestFit="1" customWidth="1"/>
    <col min="3090" max="3328" width="11.42578125" style="1"/>
    <col min="3329" max="3329" width="0" style="1" hidden="1" customWidth="1"/>
    <col min="3330" max="3330" width="37.85546875" style="1" bestFit="1" customWidth="1"/>
    <col min="3331" max="3333" width="0" style="1" hidden="1" customWidth="1"/>
    <col min="3334" max="3336" width="17.7109375" style="1" customWidth="1"/>
    <col min="3337" max="3337" width="10.140625" style="1" customWidth="1"/>
    <col min="3338" max="3338" width="20.28515625" style="1" customWidth="1"/>
    <col min="3339" max="3339" width="18" style="1" bestFit="1" customWidth="1"/>
    <col min="3340" max="3342" width="14.85546875" style="1" customWidth="1"/>
    <col min="3343" max="3345" width="14.85546875" style="1" bestFit="1" customWidth="1"/>
    <col min="3346" max="3584" width="11.42578125" style="1"/>
    <col min="3585" max="3585" width="0" style="1" hidden="1" customWidth="1"/>
    <col min="3586" max="3586" width="37.85546875" style="1" bestFit="1" customWidth="1"/>
    <col min="3587" max="3589" width="0" style="1" hidden="1" customWidth="1"/>
    <col min="3590" max="3592" width="17.7109375" style="1" customWidth="1"/>
    <col min="3593" max="3593" width="10.140625" style="1" customWidth="1"/>
    <col min="3594" max="3594" width="20.28515625" style="1" customWidth="1"/>
    <col min="3595" max="3595" width="18" style="1" bestFit="1" customWidth="1"/>
    <col min="3596" max="3598" width="14.85546875" style="1" customWidth="1"/>
    <col min="3599" max="3601" width="14.85546875" style="1" bestFit="1" customWidth="1"/>
    <col min="3602" max="3840" width="11.42578125" style="1"/>
    <col min="3841" max="3841" width="0" style="1" hidden="1" customWidth="1"/>
    <col min="3842" max="3842" width="37.85546875" style="1" bestFit="1" customWidth="1"/>
    <col min="3843" max="3845" width="0" style="1" hidden="1" customWidth="1"/>
    <col min="3846" max="3848" width="17.7109375" style="1" customWidth="1"/>
    <col min="3849" max="3849" width="10.140625" style="1" customWidth="1"/>
    <col min="3850" max="3850" width="20.28515625" style="1" customWidth="1"/>
    <col min="3851" max="3851" width="18" style="1" bestFit="1" customWidth="1"/>
    <col min="3852" max="3854" width="14.85546875" style="1" customWidth="1"/>
    <col min="3855" max="3857" width="14.85546875" style="1" bestFit="1" customWidth="1"/>
    <col min="3858" max="4096" width="11.42578125" style="1"/>
    <col min="4097" max="4097" width="0" style="1" hidden="1" customWidth="1"/>
    <col min="4098" max="4098" width="37.85546875" style="1" bestFit="1" customWidth="1"/>
    <col min="4099" max="4101" width="0" style="1" hidden="1" customWidth="1"/>
    <col min="4102" max="4104" width="17.7109375" style="1" customWidth="1"/>
    <col min="4105" max="4105" width="10.140625" style="1" customWidth="1"/>
    <col min="4106" max="4106" width="20.28515625" style="1" customWidth="1"/>
    <col min="4107" max="4107" width="18" style="1" bestFit="1" customWidth="1"/>
    <col min="4108" max="4110" width="14.85546875" style="1" customWidth="1"/>
    <col min="4111" max="4113" width="14.85546875" style="1" bestFit="1" customWidth="1"/>
    <col min="4114" max="4352" width="11.42578125" style="1"/>
    <col min="4353" max="4353" width="0" style="1" hidden="1" customWidth="1"/>
    <col min="4354" max="4354" width="37.85546875" style="1" bestFit="1" customWidth="1"/>
    <col min="4355" max="4357" width="0" style="1" hidden="1" customWidth="1"/>
    <col min="4358" max="4360" width="17.7109375" style="1" customWidth="1"/>
    <col min="4361" max="4361" width="10.140625" style="1" customWidth="1"/>
    <col min="4362" max="4362" width="20.28515625" style="1" customWidth="1"/>
    <col min="4363" max="4363" width="18" style="1" bestFit="1" customWidth="1"/>
    <col min="4364" max="4366" width="14.85546875" style="1" customWidth="1"/>
    <col min="4367" max="4369" width="14.85546875" style="1" bestFit="1" customWidth="1"/>
    <col min="4370" max="4608" width="11.42578125" style="1"/>
    <col min="4609" max="4609" width="0" style="1" hidden="1" customWidth="1"/>
    <col min="4610" max="4610" width="37.85546875" style="1" bestFit="1" customWidth="1"/>
    <col min="4611" max="4613" width="0" style="1" hidden="1" customWidth="1"/>
    <col min="4614" max="4616" width="17.7109375" style="1" customWidth="1"/>
    <col min="4617" max="4617" width="10.140625" style="1" customWidth="1"/>
    <col min="4618" max="4618" width="20.28515625" style="1" customWidth="1"/>
    <col min="4619" max="4619" width="18" style="1" bestFit="1" customWidth="1"/>
    <col min="4620" max="4622" width="14.85546875" style="1" customWidth="1"/>
    <col min="4623" max="4625" width="14.85546875" style="1" bestFit="1" customWidth="1"/>
    <col min="4626" max="4864" width="11.42578125" style="1"/>
    <col min="4865" max="4865" width="0" style="1" hidden="1" customWidth="1"/>
    <col min="4866" max="4866" width="37.85546875" style="1" bestFit="1" customWidth="1"/>
    <col min="4867" max="4869" width="0" style="1" hidden="1" customWidth="1"/>
    <col min="4870" max="4872" width="17.7109375" style="1" customWidth="1"/>
    <col min="4873" max="4873" width="10.140625" style="1" customWidth="1"/>
    <col min="4874" max="4874" width="20.28515625" style="1" customWidth="1"/>
    <col min="4875" max="4875" width="18" style="1" bestFit="1" customWidth="1"/>
    <col min="4876" max="4878" width="14.85546875" style="1" customWidth="1"/>
    <col min="4879" max="4881" width="14.85546875" style="1" bestFit="1" customWidth="1"/>
    <col min="4882" max="5120" width="11.42578125" style="1"/>
    <col min="5121" max="5121" width="0" style="1" hidden="1" customWidth="1"/>
    <col min="5122" max="5122" width="37.85546875" style="1" bestFit="1" customWidth="1"/>
    <col min="5123" max="5125" width="0" style="1" hidden="1" customWidth="1"/>
    <col min="5126" max="5128" width="17.7109375" style="1" customWidth="1"/>
    <col min="5129" max="5129" width="10.140625" style="1" customWidth="1"/>
    <col min="5130" max="5130" width="20.28515625" style="1" customWidth="1"/>
    <col min="5131" max="5131" width="18" style="1" bestFit="1" customWidth="1"/>
    <col min="5132" max="5134" width="14.85546875" style="1" customWidth="1"/>
    <col min="5135" max="5137" width="14.85546875" style="1" bestFit="1" customWidth="1"/>
    <col min="5138" max="5376" width="11.42578125" style="1"/>
    <col min="5377" max="5377" width="0" style="1" hidden="1" customWidth="1"/>
    <col min="5378" max="5378" width="37.85546875" style="1" bestFit="1" customWidth="1"/>
    <col min="5379" max="5381" width="0" style="1" hidden="1" customWidth="1"/>
    <col min="5382" max="5384" width="17.7109375" style="1" customWidth="1"/>
    <col min="5385" max="5385" width="10.140625" style="1" customWidth="1"/>
    <col min="5386" max="5386" width="20.28515625" style="1" customWidth="1"/>
    <col min="5387" max="5387" width="18" style="1" bestFit="1" customWidth="1"/>
    <col min="5388" max="5390" width="14.85546875" style="1" customWidth="1"/>
    <col min="5391" max="5393" width="14.85546875" style="1" bestFit="1" customWidth="1"/>
    <col min="5394" max="5632" width="11.42578125" style="1"/>
    <col min="5633" max="5633" width="0" style="1" hidden="1" customWidth="1"/>
    <col min="5634" max="5634" width="37.85546875" style="1" bestFit="1" customWidth="1"/>
    <col min="5635" max="5637" width="0" style="1" hidden="1" customWidth="1"/>
    <col min="5638" max="5640" width="17.7109375" style="1" customWidth="1"/>
    <col min="5641" max="5641" width="10.140625" style="1" customWidth="1"/>
    <col min="5642" max="5642" width="20.28515625" style="1" customWidth="1"/>
    <col min="5643" max="5643" width="18" style="1" bestFit="1" customWidth="1"/>
    <col min="5644" max="5646" width="14.85546875" style="1" customWidth="1"/>
    <col min="5647" max="5649" width="14.85546875" style="1" bestFit="1" customWidth="1"/>
    <col min="5650" max="5888" width="11.42578125" style="1"/>
    <col min="5889" max="5889" width="0" style="1" hidden="1" customWidth="1"/>
    <col min="5890" max="5890" width="37.85546875" style="1" bestFit="1" customWidth="1"/>
    <col min="5891" max="5893" width="0" style="1" hidden="1" customWidth="1"/>
    <col min="5894" max="5896" width="17.7109375" style="1" customWidth="1"/>
    <col min="5897" max="5897" width="10.140625" style="1" customWidth="1"/>
    <col min="5898" max="5898" width="20.28515625" style="1" customWidth="1"/>
    <col min="5899" max="5899" width="18" style="1" bestFit="1" customWidth="1"/>
    <col min="5900" max="5902" width="14.85546875" style="1" customWidth="1"/>
    <col min="5903" max="5905" width="14.85546875" style="1" bestFit="1" customWidth="1"/>
    <col min="5906" max="6144" width="11.42578125" style="1"/>
    <col min="6145" max="6145" width="0" style="1" hidden="1" customWidth="1"/>
    <col min="6146" max="6146" width="37.85546875" style="1" bestFit="1" customWidth="1"/>
    <col min="6147" max="6149" width="0" style="1" hidden="1" customWidth="1"/>
    <col min="6150" max="6152" width="17.7109375" style="1" customWidth="1"/>
    <col min="6153" max="6153" width="10.140625" style="1" customWidth="1"/>
    <col min="6154" max="6154" width="20.28515625" style="1" customWidth="1"/>
    <col min="6155" max="6155" width="18" style="1" bestFit="1" customWidth="1"/>
    <col min="6156" max="6158" width="14.85546875" style="1" customWidth="1"/>
    <col min="6159" max="6161" width="14.85546875" style="1" bestFit="1" customWidth="1"/>
    <col min="6162" max="6400" width="11.42578125" style="1"/>
    <col min="6401" max="6401" width="0" style="1" hidden="1" customWidth="1"/>
    <col min="6402" max="6402" width="37.85546875" style="1" bestFit="1" customWidth="1"/>
    <col min="6403" max="6405" width="0" style="1" hidden="1" customWidth="1"/>
    <col min="6406" max="6408" width="17.7109375" style="1" customWidth="1"/>
    <col min="6409" max="6409" width="10.140625" style="1" customWidth="1"/>
    <col min="6410" max="6410" width="20.28515625" style="1" customWidth="1"/>
    <col min="6411" max="6411" width="18" style="1" bestFit="1" customWidth="1"/>
    <col min="6412" max="6414" width="14.85546875" style="1" customWidth="1"/>
    <col min="6415" max="6417" width="14.85546875" style="1" bestFit="1" customWidth="1"/>
    <col min="6418" max="6656" width="11.42578125" style="1"/>
    <col min="6657" max="6657" width="0" style="1" hidden="1" customWidth="1"/>
    <col min="6658" max="6658" width="37.85546875" style="1" bestFit="1" customWidth="1"/>
    <col min="6659" max="6661" width="0" style="1" hidden="1" customWidth="1"/>
    <col min="6662" max="6664" width="17.7109375" style="1" customWidth="1"/>
    <col min="6665" max="6665" width="10.140625" style="1" customWidth="1"/>
    <col min="6666" max="6666" width="20.28515625" style="1" customWidth="1"/>
    <col min="6667" max="6667" width="18" style="1" bestFit="1" customWidth="1"/>
    <col min="6668" max="6670" width="14.85546875" style="1" customWidth="1"/>
    <col min="6671" max="6673" width="14.85546875" style="1" bestFit="1" customWidth="1"/>
    <col min="6674" max="6912" width="11.42578125" style="1"/>
    <col min="6913" max="6913" width="0" style="1" hidden="1" customWidth="1"/>
    <col min="6914" max="6914" width="37.85546875" style="1" bestFit="1" customWidth="1"/>
    <col min="6915" max="6917" width="0" style="1" hidden="1" customWidth="1"/>
    <col min="6918" max="6920" width="17.7109375" style="1" customWidth="1"/>
    <col min="6921" max="6921" width="10.140625" style="1" customWidth="1"/>
    <col min="6922" max="6922" width="20.28515625" style="1" customWidth="1"/>
    <col min="6923" max="6923" width="18" style="1" bestFit="1" customWidth="1"/>
    <col min="6924" max="6926" width="14.85546875" style="1" customWidth="1"/>
    <col min="6927" max="6929" width="14.85546875" style="1" bestFit="1" customWidth="1"/>
    <col min="6930" max="7168" width="11.42578125" style="1"/>
    <col min="7169" max="7169" width="0" style="1" hidden="1" customWidth="1"/>
    <col min="7170" max="7170" width="37.85546875" style="1" bestFit="1" customWidth="1"/>
    <col min="7171" max="7173" width="0" style="1" hidden="1" customWidth="1"/>
    <col min="7174" max="7176" width="17.7109375" style="1" customWidth="1"/>
    <col min="7177" max="7177" width="10.140625" style="1" customWidth="1"/>
    <col min="7178" max="7178" width="20.28515625" style="1" customWidth="1"/>
    <col min="7179" max="7179" width="18" style="1" bestFit="1" customWidth="1"/>
    <col min="7180" max="7182" width="14.85546875" style="1" customWidth="1"/>
    <col min="7183" max="7185" width="14.85546875" style="1" bestFit="1" customWidth="1"/>
    <col min="7186" max="7424" width="11.42578125" style="1"/>
    <col min="7425" max="7425" width="0" style="1" hidden="1" customWidth="1"/>
    <col min="7426" max="7426" width="37.85546875" style="1" bestFit="1" customWidth="1"/>
    <col min="7427" max="7429" width="0" style="1" hidden="1" customWidth="1"/>
    <col min="7430" max="7432" width="17.7109375" style="1" customWidth="1"/>
    <col min="7433" max="7433" width="10.140625" style="1" customWidth="1"/>
    <col min="7434" max="7434" width="20.28515625" style="1" customWidth="1"/>
    <col min="7435" max="7435" width="18" style="1" bestFit="1" customWidth="1"/>
    <col min="7436" max="7438" width="14.85546875" style="1" customWidth="1"/>
    <col min="7439" max="7441" width="14.85546875" style="1" bestFit="1" customWidth="1"/>
    <col min="7442" max="7680" width="11.42578125" style="1"/>
    <col min="7681" max="7681" width="0" style="1" hidden="1" customWidth="1"/>
    <col min="7682" max="7682" width="37.85546875" style="1" bestFit="1" customWidth="1"/>
    <col min="7683" max="7685" width="0" style="1" hidden="1" customWidth="1"/>
    <col min="7686" max="7688" width="17.7109375" style="1" customWidth="1"/>
    <col min="7689" max="7689" width="10.140625" style="1" customWidth="1"/>
    <col min="7690" max="7690" width="20.28515625" style="1" customWidth="1"/>
    <col min="7691" max="7691" width="18" style="1" bestFit="1" customWidth="1"/>
    <col min="7692" max="7694" width="14.85546875" style="1" customWidth="1"/>
    <col min="7695" max="7697" width="14.85546875" style="1" bestFit="1" customWidth="1"/>
    <col min="7698" max="7936" width="11.42578125" style="1"/>
    <col min="7937" max="7937" width="0" style="1" hidden="1" customWidth="1"/>
    <col min="7938" max="7938" width="37.85546875" style="1" bestFit="1" customWidth="1"/>
    <col min="7939" max="7941" width="0" style="1" hidden="1" customWidth="1"/>
    <col min="7942" max="7944" width="17.7109375" style="1" customWidth="1"/>
    <col min="7945" max="7945" width="10.140625" style="1" customWidth="1"/>
    <col min="7946" max="7946" width="20.28515625" style="1" customWidth="1"/>
    <col min="7947" max="7947" width="18" style="1" bestFit="1" customWidth="1"/>
    <col min="7948" max="7950" width="14.85546875" style="1" customWidth="1"/>
    <col min="7951" max="7953" width="14.85546875" style="1" bestFit="1" customWidth="1"/>
    <col min="7954" max="8192" width="11.42578125" style="1"/>
    <col min="8193" max="8193" width="0" style="1" hidden="1" customWidth="1"/>
    <col min="8194" max="8194" width="37.85546875" style="1" bestFit="1" customWidth="1"/>
    <col min="8195" max="8197" width="0" style="1" hidden="1" customWidth="1"/>
    <col min="8198" max="8200" width="17.7109375" style="1" customWidth="1"/>
    <col min="8201" max="8201" width="10.140625" style="1" customWidth="1"/>
    <col min="8202" max="8202" width="20.28515625" style="1" customWidth="1"/>
    <col min="8203" max="8203" width="18" style="1" bestFit="1" customWidth="1"/>
    <col min="8204" max="8206" width="14.85546875" style="1" customWidth="1"/>
    <col min="8207" max="8209" width="14.85546875" style="1" bestFit="1" customWidth="1"/>
    <col min="8210" max="8448" width="11.42578125" style="1"/>
    <col min="8449" max="8449" width="0" style="1" hidden="1" customWidth="1"/>
    <col min="8450" max="8450" width="37.85546875" style="1" bestFit="1" customWidth="1"/>
    <col min="8451" max="8453" width="0" style="1" hidden="1" customWidth="1"/>
    <col min="8454" max="8456" width="17.7109375" style="1" customWidth="1"/>
    <col min="8457" max="8457" width="10.140625" style="1" customWidth="1"/>
    <col min="8458" max="8458" width="20.28515625" style="1" customWidth="1"/>
    <col min="8459" max="8459" width="18" style="1" bestFit="1" customWidth="1"/>
    <col min="8460" max="8462" width="14.85546875" style="1" customWidth="1"/>
    <col min="8463" max="8465" width="14.85546875" style="1" bestFit="1" customWidth="1"/>
    <col min="8466" max="8704" width="11.42578125" style="1"/>
    <col min="8705" max="8705" width="0" style="1" hidden="1" customWidth="1"/>
    <col min="8706" max="8706" width="37.85546875" style="1" bestFit="1" customWidth="1"/>
    <col min="8707" max="8709" width="0" style="1" hidden="1" customWidth="1"/>
    <col min="8710" max="8712" width="17.7109375" style="1" customWidth="1"/>
    <col min="8713" max="8713" width="10.140625" style="1" customWidth="1"/>
    <col min="8714" max="8714" width="20.28515625" style="1" customWidth="1"/>
    <col min="8715" max="8715" width="18" style="1" bestFit="1" customWidth="1"/>
    <col min="8716" max="8718" width="14.85546875" style="1" customWidth="1"/>
    <col min="8719" max="8721" width="14.85546875" style="1" bestFit="1" customWidth="1"/>
    <col min="8722" max="8960" width="11.42578125" style="1"/>
    <col min="8961" max="8961" width="0" style="1" hidden="1" customWidth="1"/>
    <col min="8962" max="8962" width="37.85546875" style="1" bestFit="1" customWidth="1"/>
    <col min="8963" max="8965" width="0" style="1" hidden="1" customWidth="1"/>
    <col min="8966" max="8968" width="17.7109375" style="1" customWidth="1"/>
    <col min="8969" max="8969" width="10.140625" style="1" customWidth="1"/>
    <col min="8970" max="8970" width="20.28515625" style="1" customWidth="1"/>
    <col min="8971" max="8971" width="18" style="1" bestFit="1" customWidth="1"/>
    <col min="8972" max="8974" width="14.85546875" style="1" customWidth="1"/>
    <col min="8975" max="8977" width="14.85546875" style="1" bestFit="1" customWidth="1"/>
    <col min="8978" max="9216" width="11.42578125" style="1"/>
    <col min="9217" max="9217" width="0" style="1" hidden="1" customWidth="1"/>
    <col min="9218" max="9218" width="37.85546875" style="1" bestFit="1" customWidth="1"/>
    <col min="9219" max="9221" width="0" style="1" hidden="1" customWidth="1"/>
    <col min="9222" max="9224" width="17.7109375" style="1" customWidth="1"/>
    <col min="9225" max="9225" width="10.140625" style="1" customWidth="1"/>
    <col min="9226" max="9226" width="20.28515625" style="1" customWidth="1"/>
    <col min="9227" max="9227" width="18" style="1" bestFit="1" customWidth="1"/>
    <col min="9228" max="9230" width="14.85546875" style="1" customWidth="1"/>
    <col min="9231" max="9233" width="14.85546875" style="1" bestFit="1" customWidth="1"/>
    <col min="9234" max="9472" width="11.42578125" style="1"/>
    <col min="9473" max="9473" width="0" style="1" hidden="1" customWidth="1"/>
    <col min="9474" max="9474" width="37.85546875" style="1" bestFit="1" customWidth="1"/>
    <col min="9475" max="9477" width="0" style="1" hidden="1" customWidth="1"/>
    <col min="9478" max="9480" width="17.7109375" style="1" customWidth="1"/>
    <col min="9481" max="9481" width="10.140625" style="1" customWidth="1"/>
    <col min="9482" max="9482" width="20.28515625" style="1" customWidth="1"/>
    <col min="9483" max="9483" width="18" style="1" bestFit="1" customWidth="1"/>
    <col min="9484" max="9486" width="14.85546875" style="1" customWidth="1"/>
    <col min="9487" max="9489" width="14.85546875" style="1" bestFit="1" customWidth="1"/>
    <col min="9490" max="9728" width="11.42578125" style="1"/>
    <col min="9729" max="9729" width="0" style="1" hidden="1" customWidth="1"/>
    <col min="9730" max="9730" width="37.85546875" style="1" bestFit="1" customWidth="1"/>
    <col min="9731" max="9733" width="0" style="1" hidden="1" customWidth="1"/>
    <col min="9734" max="9736" width="17.7109375" style="1" customWidth="1"/>
    <col min="9737" max="9737" width="10.140625" style="1" customWidth="1"/>
    <col min="9738" max="9738" width="20.28515625" style="1" customWidth="1"/>
    <col min="9739" max="9739" width="18" style="1" bestFit="1" customWidth="1"/>
    <col min="9740" max="9742" width="14.85546875" style="1" customWidth="1"/>
    <col min="9743" max="9745" width="14.85546875" style="1" bestFit="1" customWidth="1"/>
    <col min="9746" max="9984" width="11.42578125" style="1"/>
    <col min="9985" max="9985" width="0" style="1" hidden="1" customWidth="1"/>
    <col min="9986" max="9986" width="37.85546875" style="1" bestFit="1" customWidth="1"/>
    <col min="9987" max="9989" width="0" style="1" hidden="1" customWidth="1"/>
    <col min="9990" max="9992" width="17.7109375" style="1" customWidth="1"/>
    <col min="9993" max="9993" width="10.140625" style="1" customWidth="1"/>
    <col min="9994" max="9994" width="20.28515625" style="1" customWidth="1"/>
    <col min="9995" max="9995" width="18" style="1" bestFit="1" customWidth="1"/>
    <col min="9996" max="9998" width="14.85546875" style="1" customWidth="1"/>
    <col min="9999" max="10001" width="14.85546875" style="1" bestFit="1" customWidth="1"/>
    <col min="10002" max="10240" width="11.42578125" style="1"/>
    <col min="10241" max="10241" width="0" style="1" hidden="1" customWidth="1"/>
    <col min="10242" max="10242" width="37.85546875" style="1" bestFit="1" customWidth="1"/>
    <col min="10243" max="10245" width="0" style="1" hidden="1" customWidth="1"/>
    <col min="10246" max="10248" width="17.7109375" style="1" customWidth="1"/>
    <col min="10249" max="10249" width="10.140625" style="1" customWidth="1"/>
    <col min="10250" max="10250" width="20.28515625" style="1" customWidth="1"/>
    <col min="10251" max="10251" width="18" style="1" bestFit="1" customWidth="1"/>
    <col min="10252" max="10254" width="14.85546875" style="1" customWidth="1"/>
    <col min="10255" max="10257" width="14.85546875" style="1" bestFit="1" customWidth="1"/>
    <col min="10258" max="10496" width="11.42578125" style="1"/>
    <col min="10497" max="10497" width="0" style="1" hidden="1" customWidth="1"/>
    <col min="10498" max="10498" width="37.85546875" style="1" bestFit="1" customWidth="1"/>
    <col min="10499" max="10501" width="0" style="1" hidden="1" customWidth="1"/>
    <col min="10502" max="10504" width="17.7109375" style="1" customWidth="1"/>
    <col min="10505" max="10505" width="10.140625" style="1" customWidth="1"/>
    <col min="10506" max="10506" width="20.28515625" style="1" customWidth="1"/>
    <col min="10507" max="10507" width="18" style="1" bestFit="1" customWidth="1"/>
    <col min="10508" max="10510" width="14.85546875" style="1" customWidth="1"/>
    <col min="10511" max="10513" width="14.85546875" style="1" bestFit="1" customWidth="1"/>
    <col min="10514" max="10752" width="11.42578125" style="1"/>
    <col min="10753" max="10753" width="0" style="1" hidden="1" customWidth="1"/>
    <col min="10754" max="10754" width="37.85546875" style="1" bestFit="1" customWidth="1"/>
    <col min="10755" max="10757" width="0" style="1" hidden="1" customWidth="1"/>
    <col min="10758" max="10760" width="17.7109375" style="1" customWidth="1"/>
    <col min="10761" max="10761" width="10.140625" style="1" customWidth="1"/>
    <col min="10762" max="10762" width="20.28515625" style="1" customWidth="1"/>
    <col min="10763" max="10763" width="18" style="1" bestFit="1" customWidth="1"/>
    <col min="10764" max="10766" width="14.85546875" style="1" customWidth="1"/>
    <col min="10767" max="10769" width="14.85546875" style="1" bestFit="1" customWidth="1"/>
    <col min="10770" max="11008" width="11.42578125" style="1"/>
    <col min="11009" max="11009" width="0" style="1" hidden="1" customWidth="1"/>
    <col min="11010" max="11010" width="37.85546875" style="1" bestFit="1" customWidth="1"/>
    <col min="11011" max="11013" width="0" style="1" hidden="1" customWidth="1"/>
    <col min="11014" max="11016" width="17.7109375" style="1" customWidth="1"/>
    <col min="11017" max="11017" width="10.140625" style="1" customWidth="1"/>
    <col min="11018" max="11018" width="20.28515625" style="1" customWidth="1"/>
    <col min="11019" max="11019" width="18" style="1" bestFit="1" customWidth="1"/>
    <col min="11020" max="11022" width="14.85546875" style="1" customWidth="1"/>
    <col min="11023" max="11025" width="14.85546875" style="1" bestFit="1" customWidth="1"/>
    <col min="11026" max="11264" width="11.42578125" style="1"/>
    <col min="11265" max="11265" width="0" style="1" hidden="1" customWidth="1"/>
    <col min="11266" max="11266" width="37.85546875" style="1" bestFit="1" customWidth="1"/>
    <col min="11267" max="11269" width="0" style="1" hidden="1" customWidth="1"/>
    <col min="11270" max="11272" width="17.7109375" style="1" customWidth="1"/>
    <col min="11273" max="11273" width="10.140625" style="1" customWidth="1"/>
    <col min="11274" max="11274" width="20.28515625" style="1" customWidth="1"/>
    <col min="11275" max="11275" width="18" style="1" bestFit="1" customWidth="1"/>
    <col min="11276" max="11278" width="14.85546875" style="1" customWidth="1"/>
    <col min="11279" max="11281" width="14.85546875" style="1" bestFit="1" customWidth="1"/>
    <col min="11282" max="11520" width="11.42578125" style="1"/>
    <col min="11521" max="11521" width="0" style="1" hidden="1" customWidth="1"/>
    <col min="11522" max="11522" width="37.85546875" style="1" bestFit="1" customWidth="1"/>
    <col min="11523" max="11525" width="0" style="1" hidden="1" customWidth="1"/>
    <col min="11526" max="11528" width="17.7109375" style="1" customWidth="1"/>
    <col min="11529" max="11529" width="10.140625" style="1" customWidth="1"/>
    <col min="11530" max="11530" width="20.28515625" style="1" customWidth="1"/>
    <col min="11531" max="11531" width="18" style="1" bestFit="1" customWidth="1"/>
    <col min="11532" max="11534" width="14.85546875" style="1" customWidth="1"/>
    <col min="11535" max="11537" width="14.85546875" style="1" bestFit="1" customWidth="1"/>
    <col min="11538" max="11776" width="11.42578125" style="1"/>
    <col min="11777" max="11777" width="0" style="1" hidden="1" customWidth="1"/>
    <col min="11778" max="11778" width="37.85546875" style="1" bestFit="1" customWidth="1"/>
    <col min="11779" max="11781" width="0" style="1" hidden="1" customWidth="1"/>
    <col min="11782" max="11784" width="17.7109375" style="1" customWidth="1"/>
    <col min="11785" max="11785" width="10.140625" style="1" customWidth="1"/>
    <col min="11786" max="11786" width="20.28515625" style="1" customWidth="1"/>
    <col min="11787" max="11787" width="18" style="1" bestFit="1" customWidth="1"/>
    <col min="11788" max="11790" width="14.85546875" style="1" customWidth="1"/>
    <col min="11791" max="11793" width="14.85546875" style="1" bestFit="1" customWidth="1"/>
    <col min="11794" max="12032" width="11.42578125" style="1"/>
    <col min="12033" max="12033" width="0" style="1" hidden="1" customWidth="1"/>
    <col min="12034" max="12034" width="37.85546875" style="1" bestFit="1" customWidth="1"/>
    <col min="12035" max="12037" width="0" style="1" hidden="1" customWidth="1"/>
    <col min="12038" max="12040" width="17.7109375" style="1" customWidth="1"/>
    <col min="12041" max="12041" width="10.140625" style="1" customWidth="1"/>
    <col min="12042" max="12042" width="20.28515625" style="1" customWidth="1"/>
    <col min="12043" max="12043" width="18" style="1" bestFit="1" customWidth="1"/>
    <col min="12044" max="12046" width="14.85546875" style="1" customWidth="1"/>
    <col min="12047" max="12049" width="14.85546875" style="1" bestFit="1" customWidth="1"/>
    <col min="12050" max="12288" width="11.42578125" style="1"/>
    <col min="12289" max="12289" width="0" style="1" hidden="1" customWidth="1"/>
    <col min="12290" max="12290" width="37.85546875" style="1" bestFit="1" customWidth="1"/>
    <col min="12291" max="12293" width="0" style="1" hidden="1" customWidth="1"/>
    <col min="12294" max="12296" width="17.7109375" style="1" customWidth="1"/>
    <col min="12297" max="12297" width="10.140625" style="1" customWidth="1"/>
    <col min="12298" max="12298" width="20.28515625" style="1" customWidth="1"/>
    <col min="12299" max="12299" width="18" style="1" bestFit="1" customWidth="1"/>
    <col min="12300" max="12302" width="14.85546875" style="1" customWidth="1"/>
    <col min="12303" max="12305" width="14.85546875" style="1" bestFit="1" customWidth="1"/>
    <col min="12306" max="12544" width="11.42578125" style="1"/>
    <col min="12545" max="12545" width="0" style="1" hidden="1" customWidth="1"/>
    <col min="12546" max="12546" width="37.85546875" style="1" bestFit="1" customWidth="1"/>
    <col min="12547" max="12549" width="0" style="1" hidden="1" customWidth="1"/>
    <col min="12550" max="12552" width="17.7109375" style="1" customWidth="1"/>
    <col min="12553" max="12553" width="10.140625" style="1" customWidth="1"/>
    <col min="12554" max="12554" width="20.28515625" style="1" customWidth="1"/>
    <col min="12555" max="12555" width="18" style="1" bestFit="1" customWidth="1"/>
    <col min="12556" max="12558" width="14.85546875" style="1" customWidth="1"/>
    <col min="12559" max="12561" width="14.85546875" style="1" bestFit="1" customWidth="1"/>
    <col min="12562" max="12800" width="11.42578125" style="1"/>
    <col min="12801" max="12801" width="0" style="1" hidden="1" customWidth="1"/>
    <col min="12802" max="12802" width="37.85546875" style="1" bestFit="1" customWidth="1"/>
    <col min="12803" max="12805" width="0" style="1" hidden="1" customWidth="1"/>
    <col min="12806" max="12808" width="17.7109375" style="1" customWidth="1"/>
    <col min="12809" max="12809" width="10.140625" style="1" customWidth="1"/>
    <col min="12810" max="12810" width="20.28515625" style="1" customWidth="1"/>
    <col min="12811" max="12811" width="18" style="1" bestFit="1" customWidth="1"/>
    <col min="12812" max="12814" width="14.85546875" style="1" customWidth="1"/>
    <col min="12815" max="12817" width="14.85546875" style="1" bestFit="1" customWidth="1"/>
    <col min="12818" max="13056" width="11.42578125" style="1"/>
    <col min="13057" max="13057" width="0" style="1" hidden="1" customWidth="1"/>
    <col min="13058" max="13058" width="37.85546875" style="1" bestFit="1" customWidth="1"/>
    <col min="13059" max="13061" width="0" style="1" hidden="1" customWidth="1"/>
    <col min="13062" max="13064" width="17.7109375" style="1" customWidth="1"/>
    <col min="13065" max="13065" width="10.140625" style="1" customWidth="1"/>
    <col min="13066" max="13066" width="20.28515625" style="1" customWidth="1"/>
    <col min="13067" max="13067" width="18" style="1" bestFit="1" customWidth="1"/>
    <col min="13068" max="13070" width="14.85546875" style="1" customWidth="1"/>
    <col min="13071" max="13073" width="14.85546875" style="1" bestFit="1" customWidth="1"/>
    <col min="13074" max="13312" width="11.42578125" style="1"/>
    <col min="13313" max="13313" width="0" style="1" hidden="1" customWidth="1"/>
    <col min="13314" max="13314" width="37.85546875" style="1" bestFit="1" customWidth="1"/>
    <col min="13315" max="13317" width="0" style="1" hidden="1" customWidth="1"/>
    <col min="13318" max="13320" width="17.7109375" style="1" customWidth="1"/>
    <col min="13321" max="13321" width="10.140625" style="1" customWidth="1"/>
    <col min="13322" max="13322" width="20.28515625" style="1" customWidth="1"/>
    <col min="13323" max="13323" width="18" style="1" bestFit="1" customWidth="1"/>
    <col min="13324" max="13326" width="14.85546875" style="1" customWidth="1"/>
    <col min="13327" max="13329" width="14.85546875" style="1" bestFit="1" customWidth="1"/>
    <col min="13330" max="13568" width="11.42578125" style="1"/>
    <col min="13569" max="13569" width="0" style="1" hidden="1" customWidth="1"/>
    <col min="13570" max="13570" width="37.85546875" style="1" bestFit="1" customWidth="1"/>
    <col min="13571" max="13573" width="0" style="1" hidden="1" customWidth="1"/>
    <col min="13574" max="13576" width="17.7109375" style="1" customWidth="1"/>
    <col min="13577" max="13577" width="10.140625" style="1" customWidth="1"/>
    <col min="13578" max="13578" width="20.28515625" style="1" customWidth="1"/>
    <col min="13579" max="13579" width="18" style="1" bestFit="1" customWidth="1"/>
    <col min="13580" max="13582" width="14.85546875" style="1" customWidth="1"/>
    <col min="13583" max="13585" width="14.85546875" style="1" bestFit="1" customWidth="1"/>
    <col min="13586" max="13824" width="11.42578125" style="1"/>
    <col min="13825" max="13825" width="0" style="1" hidden="1" customWidth="1"/>
    <col min="13826" max="13826" width="37.85546875" style="1" bestFit="1" customWidth="1"/>
    <col min="13827" max="13829" width="0" style="1" hidden="1" customWidth="1"/>
    <col min="13830" max="13832" width="17.7109375" style="1" customWidth="1"/>
    <col min="13833" max="13833" width="10.140625" style="1" customWidth="1"/>
    <col min="13834" max="13834" width="20.28515625" style="1" customWidth="1"/>
    <col min="13835" max="13835" width="18" style="1" bestFit="1" customWidth="1"/>
    <col min="13836" max="13838" width="14.85546875" style="1" customWidth="1"/>
    <col min="13839" max="13841" width="14.85546875" style="1" bestFit="1" customWidth="1"/>
    <col min="13842" max="14080" width="11.42578125" style="1"/>
    <col min="14081" max="14081" width="0" style="1" hidden="1" customWidth="1"/>
    <col min="14082" max="14082" width="37.85546875" style="1" bestFit="1" customWidth="1"/>
    <col min="14083" max="14085" width="0" style="1" hidden="1" customWidth="1"/>
    <col min="14086" max="14088" width="17.7109375" style="1" customWidth="1"/>
    <col min="14089" max="14089" width="10.140625" style="1" customWidth="1"/>
    <col min="14090" max="14090" width="20.28515625" style="1" customWidth="1"/>
    <col min="14091" max="14091" width="18" style="1" bestFit="1" customWidth="1"/>
    <col min="14092" max="14094" width="14.85546875" style="1" customWidth="1"/>
    <col min="14095" max="14097" width="14.85546875" style="1" bestFit="1" customWidth="1"/>
    <col min="14098" max="14336" width="11.42578125" style="1"/>
    <col min="14337" max="14337" width="0" style="1" hidden="1" customWidth="1"/>
    <col min="14338" max="14338" width="37.85546875" style="1" bestFit="1" customWidth="1"/>
    <col min="14339" max="14341" width="0" style="1" hidden="1" customWidth="1"/>
    <col min="14342" max="14344" width="17.7109375" style="1" customWidth="1"/>
    <col min="14345" max="14345" width="10.140625" style="1" customWidth="1"/>
    <col min="14346" max="14346" width="20.28515625" style="1" customWidth="1"/>
    <col min="14347" max="14347" width="18" style="1" bestFit="1" customWidth="1"/>
    <col min="14348" max="14350" width="14.85546875" style="1" customWidth="1"/>
    <col min="14351" max="14353" width="14.85546875" style="1" bestFit="1" customWidth="1"/>
    <col min="14354" max="14592" width="11.42578125" style="1"/>
    <col min="14593" max="14593" width="0" style="1" hidden="1" customWidth="1"/>
    <col min="14594" max="14594" width="37.85546875" style="1" bestFit="1" customWidth="1"/>
    <col min="14595" max="14597" width="0" style="1" hidden="1" customWidth="1"/>
    <col min="14598" max="14600" width="17.7109375" style="1" customWidth="1"/>
    <col min="14601" max="14601" width="10.140625" style="1" customWidth="1"/>
    <col min="14602" max="14602" width="20.28515625" style="1" customWidth="1"/>
    <col min="14603" max="14603" width="18" style="1" bestFit="1" customWidth="1"/>
    <col min="14604" max="14606" width="14.85546875" style="1" customWidth="1"/>
    <col min="14607" max="14609" width="14.85546875" style="1" bestFit="1" customWidth="1"/>
    <col min="14610" max="14848" width="11.42578125" style="1"/>
    <col min="14849" max="14849" width="0" style="1" hidden="1" customWidth="1"/>
    <col min="14850" max="14850" width="37.85546875" style="1" bestFit="1" customWidth="1"/>
    <col min="14851" max="14853" width="0" style="1" hidden="1" customWidth="1"/>
    <col min="14854" max="14856" width="17.7109375" style="1" customWidth="1"/>
    <col min="14857" max="14857" width="10.140625" style="1" customWidth="1"/>
    <col min="14858" max="14858" width="20.28515625" style="1" customWidth="1"/>
    <col min="14859" max="14859" width="18" style="1" bestFit="1" customWidth="1"/>
    <col min="14860" max="14862" width="14.85546875" style="1" customWidth="1"/>
    <col min="14863" max="14865" width="14.85546875" style="1" bestFit="1" customWidth="1"/>
    <col min="14866" max="15104" width="11.42578125" style="1"/>
    <col min="15105" max="15105" width="0" style="1" hidden="1" customWidth="1"/>
    <col min="15106" max="15106" width="37.85546875" style="1" bestFit="1" customWidth="1"/>
    <col min="15107" max="15109" width="0" style="1" hidden="1" customWidth="1"/>
    <col min="15110" max="15112" width="17.7109375" style="1" customWidth="1"/>
    <col min="15113" max="15113" width="10.140625" style="1" customWidth="1"/>
    <col min="15114" max="15114" width="20.28515625" style="1" customWidth="1"/>
    <col min="15115" max="15115" width="18" style="1" bestFit="1" customWidth="1"/>
    <col min="15116" max="15118" width="14.85546875" style="1" customWidth="1"/>
    <col min="15119" max="15121" width="14.85546875" style="1" bestFit="1" customWidth="1"/>
    <col min="15122" max="15360" width="11.42578125" style="1"/>
    <col min="15361" max="15361" width="0" style="1" hidden="1" customWidth="1"/>
    <col min="15362" max="15362" width="37.85546875" style="1" bestFit="1" customWidth="1"/>
    <col min="15363" max="15365" width="0" style="1" hidden="1" customWidth="1"/>
    <col min="15366" max="15368" width="17.7109375" style="1" customWidth="1"/>
    <col min="15369" max="15369" width="10.140625" style="1" customWidth="1"/>
    <col min="15370" max="15370" width="20.28515625" style="1" customWidth="1"/>
    <col min="15371" max="15371" width="18" style="1" bestFit="1" customWidth="1"/>
    <col min="15372" max="15374" width="14.85546875" style="1" customWidth="1"/>
    <col min="15375" max="15377" width="14.85546875" style="1" bestFit="1" customWidth="1"/>
    <col min="15378" max="15616" width="11.42578125" style="1"/>
    <col min="15617" max="15617" width="0" style="1" hidden="1" customWidth="1"/>
    <col min="15618" max="15618" width="37.85546875" style="1" bestFit="1" customWidth="1"/>
    <col min="15619" max="15621" width="0" style="1" hidden="1" customWidth="1"/>
    <col min="15622" max="15624" width="17.7109375" style="1" customWidth="1"/>
    <col min="15625" max="15625" width="10.140625" style="1" customWidth="1"/>
    <col min="15626" max="15626" width="20.28515625" style="1" customWidth="1"/>
    <col min="15627" max="15627" width="18" style="1" bestFit="1" customWidth="1"/>
    <col min="15628" max="15630" width="14.85546875" style="1" customWidth="1"/>
    <col min="15631" max="15633" width="14.85546875" style="1" bestFit="1" customWidth="1"/>
    <col min="15634" max="15872" width="11.42578125" style="1"/>
    <col min="15873" max="15873" width="0" style="1" hidden="1" customWidth="1"/>
    <col min="15874" max="15874" width="37.85546875" style="1" bestFit="1" customWidth="1"/>
    <col min="15875" max="15877" width="0" style="1" hidden="1" customWidth="1"/>
    <col min="15878" max="15880" width="17.7109375" style="1" customWidth="1"/>
    <col min="15881" max="15881" width="10.140625" style="1" customWidth="1"/>
    <col min="15882" max="15882" width="20.28515625" style="1" customWidth="1"/>
    <col min="15883" max="15883" width="18" style="1" bestFit="1" customWidth="1"/>
    <col min="15884" max="15886" width="14.85546875" style="1" customWidth="1"/>
    <col min="15887" max="15889" width="14.85546875" style="1" bestFit="1" customWidth="1"/>
    <col min="15890" max="16128" width="11.42578125" style="1"/>
    <col min="16129" max="16129" width="0" style="1" hidden="1" customWidth="1"/>
    <col min="16130" max="16130" width="37.85546875" style="1" bestFit="1" customWidth="1"/>
    <col min="16131" max="16133" width="0" style="1" hidden="1" customWidth="1"/>
    <col min="16134" max="16136" width="17.7109375" style="1" customWidth="1"/>
    <col min="16137" max="16137" width="10.140625" style="1" customWidth="1"/>
    <col min="16138" max="16138" width="20.28515625" style="1" customWidth="1"/>
    <col min="16139" max="16139" width="18" style="1" bestFit="1" customWidth="1"/>
    <col min="16140" max="16142" width="14.85546875" style="1" customWidth="1"/>
    <col min="16143" max="16145" width="14.85546875" style="1" bestFit="1" customWidth="1"/>
    <col min="16146" max="16384" width="11.42578125" style="1"/>
  </cols>
  <sheetData>
    <row r="2" spans="2:15" x14ac:dyDescent="0.25">
      <c r="B2" s="366" t="s">
        <v>0</v>
      </c>
      <c r="C2" s="367"/>
      <c r="D2" s="367"/>
      <c r="E2" s="367"/>
      <c r="F2" s="368"/>
      <c r="G2" s="367"/>
      <c r="H2" s="367"/>
      <c r="I2" s="367"/>
    </row>
    <row r="3" spans="2:15" x14ac:dyDescent="0.25">
      <c r="B3" s="366" t="s">
        <v>1</v>
      </c>
      <c r="C3" s="367"/>
      <c r="D3" s="367"/>
      <c r="E3" s="367"/>
      <c r="F3" s="368"/>
      <c r="G3" s="367"/>
      <c r="H3" s="367"/>
      <c r="I3" s="367"/>
    </row>
    <row r="4" spans="2:15" x14ac:dyDescent="0.25">
      <c r="B4" s="366" t="s">
        <v>57</v>
      </c>
      <c r="C4" s="367"/>
      <c r="D4" s="367"/>
      <c r="E4" s="367"/>
      <c r="F4" s="368"/>
      <c r="G4" s="367"/>
      <c r="H4" s="367"/>
      <c r="I4" s="367"/>
    </row>
    <row r="5" spans="2:15" x14ac:dyDescent="0.25">
      <c r="B5" s="366" t="s">
        <v>2</v>
      </c>
      <c r="C5" s="367"/>
      <c r="D5" s="367"/>
      <c r="E5" s="367"/>
      <c r="F5" s="368"/>
      <c r="G5" s="367"/>
      <c r="H5" s="367"/>
      <c r="I5" s="367"/>
    </row>
    <row r="6" spans="2:15" x14ac:dyDescent="0.25">
      <c r="B6" s="367" t="s">
        <v>58</v>
      </c>
      <c r="C6" s="367"/>
      <c r="D6" s="367"/>
      <c r="E6" s="367"/>
      <c r="F6" s="368"/>
      <c r="G6" s="367"/>
      <c r="H6" s="367"/>
      <c r="I6" s="367"/>
    </row>
    <row r="7" spans="2:15" ht="16.5" thickBot="1" x14ac:dyDescent="0.3">
      <c r="B7" s="21"/>
      <c r="C7" s="23"/>
      <c r="D7" s="23"/>
      <c r="E7" s="23"/>
      <c r="F7" s="23"/>
      <c r="G7" s="23"/>
      <c r="H7" s="23"/>
      <c r="I7" s="24"/>
    </row>
    <row r="8" spans="2:15" x14ac:dyDescent="0.25">
      <c r="B8" s="360" t="s">
        <v>3</v>
      </c>
      <c r="C8" s="25" t="s">
        <v>59</v>
      </c>
      <c r="D8" s="25" t="s">
        <v>4</v>
      </c>
      <c r="E8" s="25" t="s">
        <v>60</v>
      </c>
      <c r="F8" s="26" t="s">
        <v>59</v>
      </c>
      <c r="G8" s="27" t="s">
        <v>53</v>
      </c>
      <c r="H8" s="362" t="s">
        <v>5</v>
      </c>
      <c r="I8" s="364" t="s">
        <v>6</v>
      </c>
    </row>
    <row r="9" spans="2:15" ht="16.5" thickBot="1" x14ac:dyDescent="0.3">
      <c r="B9" s="361"/>
      <c r="C9" s="28" t="s">
        <v>61</v>
      </c>
      <c r="D9" s="28" t="s">
        <v>121</v>
      </c>
      <c r="E9" s="29" t="s">
        <v>62</v>
      </c>
      <c r="F9" s="30" t="s">
        <v>61</v>
      </c>
      <c r="G9" s="31" t="s">
        <v>63</v>
      </c>
      <c r="H9" s="363"/>
      <c r="I9" s="365"/>
    </row>
    <row r="10" spans="2:15" x14ac:dyDescent="0.25">
      <c r="B10" s="32" t="s">
        <v>7</v>
      </c>
      <c r="C10" s="33">
        <f t="shared" ref="C10:H10" si="0">SUM(C11:C14)</f>
        <v>1831275673</v>
      </c>
      <c r="D10" s="33">
        <f t="shared" si="0"/>
        <v>0</v>
      </c>
      <c r="E10" s="33">
        <f t="shared" si="0"/>
        <v>151453219</v>
      </c>
      <c r="F10" s="34">
        <f t="shared" si="0"/>
        <v>1982728892</v>
      </c>
      <c r="G10" s="35">
        <f t="shared" si="0"/>
        <v>1492381665.25</v>
      </c>
      <c r="H10" s="36">
        <f t="shared" si="0"/>
        <v>490347226.75</v>
      </c>
      <c r="I10" s="37">
        <f>+G10/F10</f>
        <v>0.75269073410466047</v>
      </c>
      <c r="N10" s="232"/>
    </row>
    <row r="11" spans="2:15" x14ac:dyDescent="0.25">
      <c r="B11" s="3" t="s">
        <v>8</v>
      </c>
      <c r="C11" s="38">
        <v>1680712981</v>
      </c>
      <c r="D11" s="39"/>
      <c r="E11" s="39"/>
      <c r="F11" s="40">
        <f>SUM(C11:E11)</f>
        <v>1680712981</v>
      </c>
      <c r="G11" s="41">
        <v>1156468611</v>
      </c>
      <c r="H11" s="42">
        <f>+F11-G11</f>
        <v>524244370</v>
      </c>
      <c r="I11" s="43">
        <f>+G11/F11</f>
        <v>0.68808215565272657</v>
      </c>
      <c r="N11" s="232"/>
    </row>
    <row r="12" spans="2:15" x14ac:dyDescent="0.25">
      <c r="B12" s="3" t="s">
        <v>49</v>
      </c>
      <c r="C12" s="38">
        <v>80300000</v>
      </c>
      <c r="D12" s="39"/>
      <c r="E12" s="39"/>
      <c r="F12" s="40">
        <f>SUM(C12:E12)</f>
        <v>80300000</v>
      </c>
      <c r="G12" s="41">
        <v>110764764</v>
      </c>
      <c r="H12" s="42">
        <f t="shared" ref="H12:H75" si="1">+F12-G12</f>
        <v>-30464764</v>
      </c>
      <c r="I12" s="43">
        <f t="shared" ref="I12:I75" si="2">+G12/F12</f>
        <v>1.3793868493150685</v>
      </c>
      <c r="N12" s="232"/>
    </row>
    <row r="13" spans="2:15" x14ac:dyDescent="0.25">
      <c r="B13" s="3" t="s">
        <v>9</v>
      </c>
      <c r="C13" s="38">
        <v>70262692</v>
      </c>
      <c r="D13" s="44"/>
      <c r="E13" s="39"/>
      <c r="F13" s="45">
        <f>SUM(C13:E13)</f>
        <v>70262692</v>
      </c>
      <c r="G13" s="46">
        <v>91854374</v>
      </c>
      <c r="H13" s="47">
        <f t="shared" si="1"/>
        <v>-21591682</v>
      </c>
      <c r="I13" s="48">
        <f t="shared" si="2"/>
        <v>1.3072993844300755</v>
      </c>
      <c r="N13" s="232"/>
    </row>
    <row r="14" spans="2:15" x14ac:dyDescent="0.25">
      <c r="B14" s="3" t="s">
        <v>10</v>
      </c>
      <c r="C14" s="38"/>
      <c r="D14" s="44"/>
      <c r="E14" s="39">
        <v>151453219</v>
      </c>
      <c r="F14" s="45">
        <f>SUM(C14:E14)</f>
        <v>151453219</v>
      </c>
      <c r="G14" s="46">
        <v>133293916.25</v>
      </c>
      <c r="H14" s="47">
        <f t="shared" si="1"/>
        <v>18159302.75</v>
      </c>
      <c r="I14" s="48">
        <f t="shared" si="2"/>
        <v>0.88009959200669086</v>
      </c>
      <c r="J14" s="16">
        <f>+G103</f>
        <v>0</v>
      </c>
      <c r="K14" s="16">
        <f>+G102</f>
        <v>1534275972.25</v>
      </c>
      <c r="L14" s="17">
        <f>+J14*-1</f>
        <v>0</v>
      </c>
      <c r="M14" s="17"/>
      <c r="N14" s="232"/>
      <c r="O14" s="17"/>
    </row>
    <row r="15" spans="2:15" x14ac:dyDescent="0.25">
      <c r="B15" s="2" t="s">
        <v>11</v>
      </c>
      <c r="C15" s="49">
        <f t="shared" ref="C15:H15" si="3">+SUM(C16:C17)</f>
        <v>60500000</v>
      </c>
      <c r="D15" s="49">
        <f t="shared" si="3"/>
        <v>0</v>
      </c>
      <c r="E15" s="49">
        <f t="shared" si="3"/>
        <v>0</v>
      </c>
      <c r="F15" s="50">
        <f t="shared" si="3"/>
        <v>60500000</v>
      </c>
      <c r="G15" s="51">
        <f t="shared" si="3"/>
        <v>41894307</v>
      </c>
      <c r="H15" s="52">
        <f t="shared" si="3"/>
        <v>18605693</v>
      </c>
      <c r="I15" s="53">
        <f t="shared" si="2"/>
        <v>0.69246788429752071</v>
      </c>
      <c r="N15" s="232"/>
    </row>
    <row r="16" spans="2:15" x14ac:dyDescent="0.25">
      <c r="B16" s="3" t="s">
        <v>12</v>
      </c>
      <c r="C16" s="39">
        <v>500000</v>
      </c>
      <c r="D16" s="39"/>
      <c r="E16" s="39"/>
      <c r="F16" s="40">
        <f>SUM(C16:E16)</f>
        <v>500000</v>
      </c>
      <c r="G16" s="41">
        <v>8695703</v>
      </c>
      <c r="H16" s="42">
        <f t="shared" si="1"/>
        <v>-8195703</v>
      </c>
      <c r="I16" s="43">
        <f t="shared" si="2"/>
        <v>17.391406</v>
      </c>
      <c r="N16" s="232"/>
    </row>
    <row r="17" spans="2:15" x14ac:dyDescent="0.25">
      <c r="B17" s="3" t="s">
        <v>13</v>
      </c>
      <c r="C17" s="38">
        <v>60000000</v>
      </c>
      <c r="D17" s="44"/>
      <c r="E17" s="39"/>
      <c r="F17" s="40">
        <f>SUM(C17:E17)</f>
        <v>60000000</v>
      </c>
      <c r="G17" s="41">
        <v>33198604</v>
      </c>
      <c r="H17" s="42">
        <f t="shared" si="1"/>
        <v>26801396</v>
      </c>
      <c r="I17" s="43">
        <f t="shared" si="2"/>
        <v>0.55331006666666671</v>
      </c>
      <c r="N17" s="232"/>
    </row>
    <row r="18" spans="2:15" x14ac:dyDescent="0.25">
      <c r="B18" s="2" t="s">
        <v>14</v>
      </c>
      <c r="C18" s="49">
        <f>SUM(C10+C15)</f>
        <v>1891775673</v>
      </c>
      <c r="D18" s="49">
        <f>SUM(D10+D15+D16)</f>
        <v>0</v>
      </c>
      <c r="E18" s="49">
        <f>SUM(E10+E15+E16)</f>
        <v>151453219</v>
      </c>
      <c r="F18" s="50">
        <f>SUM(F10+F15)</f>
        <v>2043228892</v>
      </c>
      <c r="G18" s="51">
        <f>SUM(G10+G15)</f>
        <v>1534275972.25</v>
      </c>
      <c r="H18" s="52">
        <f>SUM(H10+H15)</f>
        <v>508952919.75</v>
      </c>
      <c r="I18" s="53">
        <f t="shared" si="2"/>
        <v>0.75090753574269642</v>
      </c>
      <c r="N18" s="232"/>
    </row>
    <row r="19" spans="2:15" x14ac:dyDescent="0.25">
      <c r="B19" s="4" t="s">
        <v>15</v>
      </c>
      <c r="C19" s="49"/>
      <c r="D19" s="49"/>
      <c r="E19" s="49"/>
      <c r="F19" s="50"/>
      <c r="G19" s="51"/>
      <c r="H19" s="52"/>
      <c r="I19" s="53"/>
      <c r="N19" s="232"/>
    </row>
    <row r="20" spans="2:15" x14ac:dyDescent="0.25">
      <c r="B20" s="5" t="s">
        <v>16</v>
      </c>
      <c r="C20" s="49">
        <f t="shared" ref="C20:H20" si="4">+C21+C33</f>
        <v>297938586</v>
      </c>
      <c r="D20" s="49">
        <f t="shared" si="4"/>
        <v>0</v>
      </c>
      <c r="E20" s="49">
        <f t="shared" si="4"/>
        <v>0</v>
      </c>
      <c r="F20" s="50">
        <f t="shared" si="4"/>
        <v>297938586</v>
      </c>
      <c r="G20" s="51">
        <f t="shared" si="4"/>
        <v>239158377.97</v>
      </c>
      <c r="H20" s="52">
        <f t="shared" si="4"/>
        <v>58780208.030000001</v>
      </c>
      <c r="I20" s="53">
        <f t="shared" si="2"/>
        <v>0.80271032087800809</v>
      </c>
      <c r="N20" s="232"/>
    </row>
    <row r="21" spans="2:15" x14ac:dyDescent="0.25">
      <c r="B21" s="6" t="s">
        <v>17</v>
      </c>
      <c r="C21" s="49">
        <f t="shared" ref="C21:H21" si="5">SUM(C22:C32)</f>
        <v>181350884</v>
      </c>
      <c r="D21" s="49">
        <f t="shared" si="5"/>
        <v>0</v>
      </c>
      <c r="E21" s="49">
        <f t="shared" si="5"/>
        <v>0</v>
      </c>
      <c r="F21" s="50">
        <f t="shared" si="5"/>
        <v>181350884</v>
      </c>
      <c r="G21" s="51">
        <f t="shared" si="5"/>
        <v>166715489</v>
      </c>
      <c r="H21" s="52">
        <f t="shared" si="5"/>
        <v>14635395</v>
      </c>
      <c r="I21" s="53">
        <f t="shared" si="2"/>
        <v>0.91929791199694399</v>
      </c>
      <c r="N21" s="232"/>
    </row>
    <row r="22" spans="2:15" x14ac:dyDescent="0.25">
      <c r="B22" s="7" t="s">
        <v>18</v>
      </c>
      <c r="C22" s="39">
        <f>+'[2]FUNCIONAMIENTO '!V8+'[2]RECAUDO '!V8</f>
        <v>96843463</v>
      </c>
      <c r="D22" s="39">
        <v>-153459</v>
      </c>
      <c r="E22" s="39"/>
      <c r="F22" s="40">
        <f>SUM(C22:E22)</f>
        <v>96690004</v>
      </c>
      <c r="G22" s="41">
        <f>+'[3]FUNCIONAMIENTO '!I70+'[3]RECAUDO '!I79</f>
        <v>89321896</v>
      </c>
      <c r="H22" s="42">
        <f t="shared" si="1"/>
        <v>7368108</v>
      </c>
      <c r="I22" s="43">
        <f t="shared" si="2"/>
        <v>0.92379659018320037</v>
      </c>
      <c r="N22" s="232"/>
    </row>
    <row r="23" spans="2:15" x14ac:dyDescent="0.25">
      <c r="B23" s="7" t="s">
        <v>19</v>
      </c>
      <c r="C23" s="39">
        <f>+'[2]FUNCIONAMIENTO '!V9+'[2]RECAUDO '!V9</f>
        <v>3630389</v>
      </c>
      <c r="D23" s="39">
        <v>153459</v>
      </c>
      <c r="E23" s="39"/>
      <c r="F23" s="40">
        <f t="shared" ref="F23:F32" si="6">SUM(C23:E23)</f>
        <v>3783848</v>
      </c>
      <c r="G23" s="41">
        <f>+'[3]FUNCIONAMIENTO '!I75+'[3]RECAUDO '!I84</f>
        <v>3758539</v>
      </c>
      <c r="H23" s="42">
        <f t="shared" si="1"/>
        <v>25309</v>
      </c>
      <c r="I23" s="43">
        <f t="shared" si="2"/>
        <v>0.99331130637382892</v>
      </c>
      <c r="N23" s="232"/>
    </row>
    <row r="24" spans="2:15" x14ac:dyDescent="0.25">
      <c r="B24" s="8" t="s">
        <v>20</v>
      </c>
      <c r="C24" s="54">
        <v>1001110</v>
      </c>
      <c r="D24" s="39"/>
      <c r="E24" s="39"/>
      <c r="F24" s="40">
        <f t="shared" si="6"/>
        <v>1001110</v>
      </c>
      <c r="G24" s="41">
        <f>+'[3]FUNCIONAMIENTO '!I80+'[3]RECAUDO '!I89</f>
        <v>918829</v>
      </c>
      <c r="H24" s="42">
        <f t="shared" si="1"/>
        <v>82281</v>
      </c>
      <c r="I24" s="43">
        <f t="shared" si="2"/>
        <v>0.91781023064398515</v>
      </c>
      <c r="N24" s="232"/>
      <c r="O24" s="55"/>
    </row>
    <row r="25" spans="2:15" x14ac:dyDescent="0.25">
      <c r="B25" s="7" t="s">
        <v>21</v>
      </c>
      <c r="C25" s="39">
        <f>+'[2]FUNCIONAMIENTO '!V11+'[2]RECAUDO '!V11</f>
        <v>7891302</v>
      </c>
      <c r="D25" s="39"/>
      <c r="E25" s="39"/>
      <c r="F25" s="40">
        <f t="shared" si="6"/>
        <v>7891302</v>
      </c>
      <c r="G25" s="41">
        <f>+'[3]FUNCIONAMIENTO '!I85+'[3]RECAUDO '!I94</f>
        <v>7319424</v>
      </c>
      <c r="H25" s="42">
        <f t="shared" si="1"/>
        <v>571878</v>
      </c>
      <c r="I25" s="43">
        <f t="shared" si="2"/>
        <v>0.92753059000910121</v>
      </c>
      <c r="N25" s="232"/>
    </row>
    <row r="26" spans="2:15" x14ac:dyDescent="0.25">
      <c r="B26" s="7" t="s">
        <v>22</v>
      </c>
      <c r="C26" s="39">
        <f>+'[2]FUNCIONAMIENTO '!V22+'[2]RECAUDO '!V20</f>
        <v>32420800</v>
      </c>
      <c r="D26" s="39"/>
      <c r="E26" s="39"/>
      <c r="F26" s="40">
        <f t="shared" si="6"/>
        <v>32420800</v>
      </c>
      <c r="G26" s="41">
        <f>+'[3]FUNCIONAMIENTO '!I90+'[3]RECAUDO '!I99</f>
        <v>28670800</v>
      </c>
      <c r="H26" s="42">
        <f t="shared" si="1"/>
        <v>3750000</v>
      </c>
      <c r="I26" s="43">
        <f t="shared" si="2"/>
        <v>0.88433351428712437</v>
      </c>
      <c r="N26" s="232"/>
    </row>
    <row r="27" spans="2:15" hidden="1" x14ac:dyDescent="0.25">
      <c r="B27" s="7" t="s">
        <v>23</v>
      </c>
      <c r="C27" s="39">
        <v>0</v>
      </c>
      <c r="D27" s="39"/>
      <c r="E27" s="39"/>
      <c r="F27" s="40">
        <f t="shared" si="6"/>
        <v>0</v>
      </c>
      <c r="G27" s="41">
        <f t="shared" ref="G27" si="7">+F27</f>
        <v>0</v>
      </c>
      <c r="H27" s="42">
        <f t="shared" si="1"/>
        <v>0</v>
      </c>
      <c r="I27" s="43" t="e">
        <f t="shared" si="2"/>
        <v>#DIV/0!</v>
      </c>
      <c r="N27" s="232"/>
    </row>
    <row r="28" spans="2:15" x14ac:dyDescent="0.25">
      <c r="B28" s="7" t="s">
        <v>24</v>
      </c>
      <c r="C28" s="39">
        <f>+'[2]FUNCIONAMIENTO '!V12+'[2]RECAUDO '!V12</f>
        <v>7761480</v>
      </c>
      <c r="D28" s="39"/>
      <c r="E28" s="39"/>
      <c r="F28" s="40">
        <f t="shared" si="6"/>
        <v>7761480</v>
      </c>
      <c r="G28" s="41">
        <f>+'[3]FUNCIONAMIENTO '!I99+'[3]RECAUDO '!I109</f>
        <v>7319420</v>
      </c>
      <c r="H28" s="42">
        <f t="shared" si="1"/>
        <v>442060</v>
      </c>
      <c r="I28" s="43">
        <f t="shared" si="2"/>
        <v>0.94304436782675471</v>
      </c>
      <c r="N28" s="232"/>
    </row>
    <row r="29" spans="2:15" x14ac:dyDescent="0.25">
      <c r="B29" s="7" t="s">
        <v>25</v>
      </c>
      <c r="C29" s="39">
        <v>1535104</v>
      </c>
      <c r="D29" s="39"/>
      <c r="E29" s="39"/>
      <c r="F29" s="40">
        <f t="shared" si="6"/>
        <v>1535104</v>
      </c>
      <c r="G29" s="41">
        <f>+'[3]FUNCIONAMIENTO '!I104+'[3]RECAUDO '!I114</f>
        <v>1432609</v>
      </c>
      <c r="H29" s="42">
        <f t="shared" si="1"/>
        <v>102495</v>
      </c>
      <c r="I29" s="43">
        <f t="shared" si="2"/>
        <v>0.93323253668806805</v>
      </c>
      <c r="N29" s="232"/>
    </row>
    <row r="30" spans="2:15" x14ac:dyDescent="0.25">
      <c r="B30" s="7" t="s">
        <v>26</v>
      </c>
      <c r="C30" s="39">
        <f>+'[2]FUNCIONAMIENTO '!V14+'[2]FUNCIONAMIENTO '!V15+'[2]FUNCIONAMIENTO '!V16+'[2]RECAUDO '!V15+'[2]RECAUDO '!V14+'[2]RECAUDO '!V16</f>
        <v>20528936</v>
      </c>
      <c r="D30" s="39"/>
      <c r="E30" s="39"/>
      <c r="F30" s="40">
        <f t="shared" si="6"/>
        <v>20528936</v>
      </c>
      <c r="G30" s="41">
        <f>+'[3]FUNCIONAMIENTO '!I109+'[3]FUNCIONAMIENTO '!I114+'[3]FUNCIONAMIENTO '!I119+'[3]RECAUDO '!I119+'[3]RECAUDO '!I124+'[3]RECAUDO '!I129</f>
        <v>18888372</v>
      </c>
      <c r="H30" s="42">
        <f t="shared" si="1"/>
        <v>1640564</v>
      </c>
      <c r="I30" s="43">
        <f t="shared" si="2"/>
        <v>0.92008528839487835</v>
      </c>
      <c r="N30" s="232"/>
    </row>
    <row r="31" spans="2:15" x14ac:dyDescent="0.25">
      <c r="B31" s="7" t="s">
        <v>27</v>
      </c>
      <c r="C31" s="39">
        <f>+'[2]FUNCIONAMIENTO '!V17+'[2]RECAUDO '!V17</f>
        <v>4324800</v>
      </c>
      <c r="D31" s="39"/>
      <c r="E31" s="39"/>
      <c r="F31" s="40">
        <f t="shared" si="6"/>
        <v>4324800</v>
      </c>
      <c r="G31" s="41">
        <f>+'[3]FUNCIONAMIENTO '!I124+'[3]RECAUDO '!I134</f>
        <v>4037300</v>
      </c>
      <c r="H31" s="42">
        <f t="shared" si="1"/>
        <v>287500</v>
      </c>
      <c r="I31" s="43">
        <f t="shared" si="2"/>
        <v>0.93352293747687753</v>
      </c>
      <c r="N31" s="232"/>
    </row>
    <row r="32" spans="2:15" x14ac:dyDescent="0.25">
      <c r="B32" s="7" t="s">
        <v>28</v>
      </c>
      <c r="C32" s="39">
        <f>+'[2]FUNCIONAMIENTO '!V18+'[2]FUNCIONAMIENTO '!V19+'[2]RECAUDO '!V18+'[2]RECAUDO '!V19</f>
        <v>5413500</v>
      </c>
      <c r="D32" s="39"/>
      <c r="E32" s="39"/>
      <c r="F32" s="40">
        <f t="shared" si="6"/>
        <v>5413500</v>
      </c>
      <c r="G32" s="41">
        <f>+'[3]FUNCIONAMIENTO '!I134+'[3]FUNCIONAMIENTO '!I129+'[3]RECAUDO '!I139+'[3]RECAUDO '!I144</f>
        <v>5048300</v>
      </c>
      <c r="H32" s="42">
        <f t="shared" si="1"/>
        <v>365200</v>
      </c>
      <c r="I32" s="43">
        <f t="shared" si="2"/>
        <v>0.932539022813337</v>
      </c>
      <c r="N32" s="232"/>
    </row>
    <row r="33" spans="2:14" x14ac:dyDescent="0.25">
      <c r="B33" s="6" t="s">
        <v>29</v>
      </c>
      <c r="C33" s="56">
        <f t="shared" ref="C33:H33" si="8">SUM(C34:C48)</f>
        <v>116587702</v>
      </c>
      <c r="D33" s="56">
        <f t="shared" si="8"/>
        <v>0</v>
      </c>
      <c r="E33" s="56">
        <f t="shared" si="8"/>
        <v>0</v>
      </c>
      <c r="F33" s="57">
        <f t="shared" si="8"/>
        <v>116587702</v>
      </c>
      <c r="G33" s="58">
        <f t="shared" si="8"/>
        <v>72442888.969999999</v>
      </c>
      <c r="H33" s="59">
        <f t="shared" si="8"/>
        <v>44144813.030000001</v>
      </c>
      <c r="I33" s="53">
        <f t="shared" si="2"/>
        <v>0.62135960935227974</v>
      </c>
      <c r="N33" s="232"/>
    </row>
    <row r="34" spans="2:14" x14ac:dyDescent="0.25">
      <c r="B34" s="7" t="s">
        <v>64</v>
      </c>
      <c r="C34" s="60">
        <f>+'[2]FUNCIONAMIENTO '!V24+'[2]RECAUDO '!V23</f>
        <v>5390000</v>
      </c>
      <c r="D34" s="38"/>
      <c r="E34" s="38"/>
      <c r="F34" s="45">
        <f t="shared" ref="F34:F48" si="9">SUM(C34:E34)</f>
        <v>5390000</v>
      </c>
      <c r="G34" s="46">
        <f>+'[3]FUNCIONAMIENTO '!I140+'[3]RECAUDO '!I150</f>
        <v>5390000</v>
      </c>
      <c r="H34" s="47">
        <f t="shared" si="1"/>
        <v>0</v>
      </c>
      <c r="I34" s="48">
        <f t="shared" si="2"/>
        <v>1</v>
      </c>
      <c r="N34" s="232"/>
    </row>
    <row r="35" spans="2:14" hidden="1" x14ac:dyDescent="0.25">
      <c r="B35" s="7" t="s">
        <v>30</v>
      </c>
      <c r="C35" s="54">
        <v>0</v>
      </c>
      <c r="D35" s="39"/>
      <c r="E35" s="39"/>
      <c r="F35" s="40">
        <f t="shared" si="9"/>
        <v>0</v>
      </c>
      <c r="G35" s="41"/>
      <c r="H35" s="42">
        <f t="shared" si="1"/>
        <v>0</v>
      </c>
      <c r="I35" s="43" t="e">
        <f t="shared" si="2"/>
        <v>#DIV/0!</v>
      </c>
      <c r="N35" s="232"/>
    </row>
    <row r="36" spans="2:14" x14ac:dyDescent="0.25">
      <c r="B36" s="7" t="s">
        <v>31</v>
      </c>
      <c r="C36" s="54">
        <v>3348856</v>
      </c>
      <c r="D36" s="39"/>
      <c r="E36" s="39"/>
      <c r="F36" s="40">
        <f t="shared" si="9"/>
        <v>3348856</v>
      </c>
      <c r="G36" s="41">
        <f>+'[3]FUNCIONAMIENTO '!I152+'[3]RECAUDO '!I185</f>
        <v>3223896</v>
      </c>
      <c r="H36" s="42">
        <f t="shared" si="1"/>
        <v>124960</v>
      </c>
      <c r="I36" s="43">
        <f t="shared" si="2"/>
        <v>0.96268576492987457</v>
      </c>
      <c r="N36" s="232"/>
    </row>
    <row r="37" spans="2:14" x14ac:dyDescent="0.25">
      <c r="B37" s="7" t="s">
        <v>32</v>
      </c>
      <c r="C37" s="54">
        <f>+'[2]RECAUDO '!V53</f>
        <v>1565662</v>
      </c>
      <c r="D37" s="39"/>
      <c r="E37" s="39"/>
      <c r="F37" s="40">
        <f t="shared" si="9"/>
        <v>1565662</v>
      </c>
      <c r="G37" s="41">
        <f>+'[3]RECAUDO '!I201</f>
        <v>1565662</v>
      </c>
      <c r="H37" s="42">
        <f t="shared" si="1"/>
        <v>0</v>
      </c>
      <c r="I37" s="43">
        <f t="shared" si="2"/>
        <v>1</v>
      </c>
      <c r="N37" s="232"/>
    </row>
    <row r="38" spans="2:14" x14ac:dyDescent="0.25">
      <c r="B38" s="7" t="s">
        <v>33</v>
      </c>
      <c r="C38" s="54">
        <f>+'[2]FUNCIONAMIENTO '!V42+'[2]RECAUDO '!V54</f>
        <v>42600520</v>
      </c>
      <c r="D38" s="39"/>
      <c r="E38" s="39"/>
      <c r="F38" s="40">
        <f t="shared" si="9"/>
        <v>42600520</v>
      </c>
      <c r="G38" s="41">
        <f>+'[3]FUNCIONAMIENTO '!I165+'[3]RECAUDO '!I207</f>
        <v>11653162</v>
      </c>
      <c r="H38" s="42">
        <f t="shared" si="1"/>
        <v>30947358</v>
      </c>
      <c r="I38" s="61">
        <f t="shared" si="2"/>
        <v>0.27354506470813034</v>
      </c>
      <c r="N38" s="232"/>
    </row>
    <row r="39" spans="2:14" x14ac:dyDescent="0.25">
      <c r="B39" s="7" t="s">
        <v>34</v>
      </c>
      <c r="C39" s="54">
        <f>+'[2]FUNCIONAMIENTO '!V40+'[2]RECAUDO '!V58+'[2]RECAUDO '!V65</f>
        <v>1438227</v>
      </c>
      <c r="D39" s="39"/>
      <c r="E39" s="39"/>
      <c r="F39" s="40">
        <f t="shared" si="9"/>
        <v>1438227</v>
      </c>
      <c r="G39" s="41">
        <f>+'[3]FUNCIONAMIENTO '!I162+'[3]RECAUDO '!I236+'[3]RECAUDO '!I253</f>
        <v>491550</v>
      </c>
      <c r="H39" s="42">
        <f t="shared" si="1"/>
        <v>946677</v>
      </c>
      <c r="I39" s="61">
        <f t="shared" si="2"/>
        <v>0.34177497710722993</v>
      </c>
      <c r="N39" s="232"/>
    </row>
    <row r="40" spans="2:14" hidden="1" x14ac:dyDescent="0.25">
      <c r="B40" s="7" t="s">
        <v>35</v>
      </c>
      <c r="C40" s="54">
        <v>0</v>
      </c>
      <c r="D40" s="39"/>
      <c r="E40" s="39"/>
      <c r="F40" s="40">
        <f t="shared" si="9"/>
        <v>0</v>
      </c>
      <c r="G40" s="41">
        <v>0</v>
      </c>
      <c r="H40" s="42">
        <f t="shared" si="1"/>
        <v>0</v>
      </c>
      <c r="I40" s="43" t="e">
        <f t="shared" si="2"/>
        <v>#DIV/0!</v>
      </c>
      <c r="N40" s="232"/>
    </row>
    <row r="41" spans="2:14" x14ac:dyDescent="0.25">
      <c r="B41" s="7" t="s">
        <v>36</v>
      </c>
      <c r="C41" s="54">
        <f>+'[2]FUNCIONAMIENTO '!V32+'[2]RECAUDO '!V41</f>
        <v>26948658</v>
      </c>
      <c r="D41" s="39"/>
      <c r="E41" s="39"/>
      <c r="F41" s="40">
        <f t="shared" si="9"/>
        <v>26948658</v>
      </c>
      <c r="G41" s="41">
        <f>+'[3]FUNCIONAMIENTO '!I143+'[3]RECAUDO '!I161</f>
        <v>26805203.91</v>
      </c>
      <c r="H41" s="42">
        <f t="shared" si="1"/>
        <v>143454.08999999985</v>
      </c>
      <c r="I41" s="43">
        <f t="shared" si="2"/>
        <v>0.99467676312490216</v>
      </c>
      <c r="N41" s="232"/>
    </row>
    <row r="42" spans="2:14" x14ac:dyDescent="0.25">
      <c r="B42" s="7" t="s">
        <v>65</v>
      </c>
      <c r="C42" s="54">
        <f>+'[2]FUNCIONAMIENTO '!V34+'[2]RECAUDO '!V38</f>
        <v>1500000</v>
      </c>
      <c r="D42" s="39"/>
      <c r="E42" s="39"/>
      <c r="F42" s="40">
        <f t="shared" si="9"/>
        <v>1500000</v>
      </c>
      <c r="G42" s="41">
        <f>+'[3]FUNCIONAMIENTO '!I149+'[3]RECAUDO '!I155</f>
        <v>1065000.06</v>
      </c>
      <c r="H42" s="42">
        <f t="shared" si="1"/>
        <v>434999.93999999994</v>
      </c>
      <c r="I42" s="43">
        <f t="shared" si="2"/>
        <v>0.71000004000000005</v>
      </c>
      <c r="N42" s="232"/>
    </row>
    <row r="43" spans="2:14" x14ac:dyDescent="0.25">
      <c r="B43" s="7" t="s">
        <v>37</v>
      </c>
      <c r="C43" s="54">
        <v>1028016</v>
      </c>
      <c r="D43" s="39"/>
      <c r="E43" s="39"/>
      <c r="F43" s="40">
        <f t="shared" si="9"/>
        <v>1028016</v>
      </c>
      <c r="G43" s="41">
        <f>+'[3]FUNCIONAMIENTO '!I175+'[3]RECAUDO '!I266</f>
        <v>602818</v>
      </c>
      <c r="H43" s="42">
        <f t="shared" si="1"/>
        <v>425198</v>
      </c>
      <c r="I43" s="61">
        <f t="shared" si="2"/>
        <v>0.58638970599679385</v>
      </c>
      <c r="N43" s="232"/>
    </row>
    <row r="44" spans="2:14" x14ac:dyDescent="0.25">
      <c r="B44" s="7" t="s">
        <v>38</v>
      </c>
      <c r="C44" s="54">
        <f>+'[2]RECAUDO '!V71</f>
        <v>7846142</v>
      </c>
      <c r="D44" s="39"/>
      <c r="E44" s="39"/>
      <c r="F44" s="40">
        <f t="shared" si="9"/>
        <v>7846142</v>
      </c>
      <c r="G44" s="41">
        <f>+'[3]RECAUDO '!I261</f>
        <v>7683925</v>
      </c>
      <c r="H44" s="42">
        <f t="shared" si="1"/>
        <v>162217</v>
      </c>
      <c r="I44" s="61">
        <f t="shared" si="2"/>
        <v>0.9793252530989115</v>
      </c>
      <c r="N44" s="232"/>
    </row>
    <row r="45" spans="2:14" x14ac:dyDescent="0.25">
      <c r="B45" s="7" t="s">
        <v>39</v>
      </c>
      <c r="C45" s="54">
        <f>+'[2]FUNCIONAMIENTO '!V39+'[2]RECAUDO '!V52</f>
        <v>4597821</v>
      </c>
      <c r="D45" s="39"/>
      <c r="E45" s="39"/>
      <c r="F45" s="40">
        <f t="shared" si="9"/>
        <v>4597821</v>
      </c>
      <c r="G45" s="41">
        <f>+'[3]FUNCIONAMIENTO '!I157+'[3]RECAUDO '!I196</f>
        <v>4597821</v>
      </c>
      <c r="H45" s="42">
        <f t="shared" si="1"/>
        <v>0</v>
      </c>
      <c r="I45" s="43">
        <f t="shared" si="2"/>
        <v>1</v>
      </c>
      <c r="N45" s="232"/>
    </row>
    <row r="46" spans="2:14" x14ac:dyDescent="0.25">
      <c r="B46" s="7" t="s">
        <v>66</v>
      </c>
      <c r="C46" s="54">
        <f>+'[2]RECAUDO '!V73</f>
        <v>323800</v>
      </c>
      <c r="D46" s="39"/>
      <c r="E46" s="39"/>
      <c r="F46" s="40">
        <f t="shared" si="9"/>
        <v>323800</v>
      </c>
      <c r="G46" s="41">
        <f>+'[3]RECAUDO '!I274</f>
        <v>321200</v>
      </c>
      <c r="H46" s="42">
        <f t="shared" si="1"/>
        <v>2600</v>
      </c>
      <c r="I46" s="43">
        <f t="shared" si="2"/>
        <v>0.9919703520691785</v>
      </c>
      <c r="N46" s="232"/>
    </row>
    <row r="47" spans="2:14" x14ac:dyDescent="0.25">
      <c r="B47" s="7" t="s">
        <v>40</v>
      </c>
      <c r="C47" s="54">
        <v>15000000</v>
      </c>
      <c r="D47" s="39"/>
      <c r="E47" s="39"/>
      <c r="F47" s="40">
        <f t="shared" si="9"/>
        <v>15000000</v>
      </c>
      <c r="G47" s="41">
        <f>+'[3]FUNCIONAMIENTO '!I202</f>
        <v>9042651</v>
      </c>
      <c r="H47" s="42">
        <f t="shared" si="1"/>
        <v>5957349</v>
      </c>
      <c r="I47" s="61">
        <f t="shared" si="2"/>
        <v>0.60284340000000003</v>
      </c>
      <c r="N47" s="232"/>
    </row>
    <row r="48" spans="2:14" ht="16.5" thickBot="1" x14ac:dyDescent="0.3">
      <c r="B48" s="9" t="s">
        <v>41</v>
      </c>
      <c r="C48" s="62">
        <v>5000000</v>
      </c>
      <c r="D48" s="63"/>
      <c r="E48" s="63"/>
      <c r="F48" s="40">
        <f t="shared" si="9"/>
        <v>5000000</v>
      </c>
      <c r="G48" s="41">
        <f>+'[3]FUNCIONAMIENTO '!I180</f>
        <v>0</v>
      </c>
      <c r="H48" s="42">
        <f t="shared" si="1"/>
        <v>5000000</v>
      </c>
      <c r="I48" s="61">
        <f t="shared" si="2"/>
        <v>0</v>
      </c>
      <c r="M48" s="55"/>
      <c r="N48" s="232"/>
    </row>
    <row r="49" spans="1:256" ht="16.5" thickBot="1" x14ac:dyDescent="0.3">
      <c r="B49" s="64" t="s">
        <v>67</v>
      </c>
      <c r="C49" s="65">
        <f t="shared" ref="C49:H49" si="10">+C50</f>
        <v>176101298.10000002</v>
      </c>
      <c r="D49" s="65">
        <f t="shared" si="10"/>
        <v>0</v>
      </c>
      <c r="E49" s="65">
        <f t="shared" si="10"/>
        <v>0</v>
      </c>
      <c r="F49" s="66">
        <f t="shared" si="10"/>
        <v>176101298.10000002</v>
      </c>
      <c r="G49" s="67">
        <f t="shared" si="10"/>
        <v>126723337.5</v>
      </c>
      <c r="H49" s="68">
        <f t="shared" si="10"/>
        <v>0</v>
      </c>
      <c r="I49" s="69">
        <f t="shared" si="2"/>
        <v>0.71960478921648552</v>
      </c>
      <c r="N49" s="232"/>
    </row>
    <row r="50" spans="1:256" x14ac:dyDescent="0.25">
      <c r="B50" s="8" t="s">
        <v>42</v>
      </c>
      <c r="C50" s="54">
        <f>(+C11+C12)*10%</f>
        <v>176101298.10000002</v>
      </c>
      <c r="D50" s="39">
        <f>(+D11+D12)*10%</f>
        <v>0</v>
      </c>
      <c r="E50" s="54">
        <f>(+E11+E12)*10%</f>
        <v>0</v>
      </c>
      <c r="F50" s="70">
        <f>(+F11+F12)*10%</f>
        <v>176101298.10000002</v>
      </c>
      <c r="G50" s="71">
        <f>(+G11+G12)*10%</f>
        <v>126723337.5</v>
      </c>
      <c r="H50" s="72">
        <v>0</v>
      </c>
      <c r="I50" s="43">
        <f t="shared" si="2"/>
        <v>0.71960478921648552</v>
      </c>
      <c r="N50" s="232"/>
    </row>
    <row r="51" spans="1:256" x14ac:dyDescent="0.25">
      <c r="B51" s="73" t="s">
        <v>68</v>
      </c>
      <c r="C51" s="74">
        <f t="shared" ref="C51:H51" si="11">+C52+C64+C82</f>
        <v>1344982058</v>
      </c>
      <c r="D51" s="74">
        <f t="shared" si="11"/>
        <v>0</v>
      </c>
      <c r="E51" s="74">
        <f t="shared" si="11"/>
        <v>0</v>
      </c>
      <c r="F51" s="75">
        <f t="shared" si="11"/>
        <v>1344982058</v>
      </c>
      <c r="G51" s="76">
        <f t="shared" si="11"/>
        <v>1168394256.78</v>
      </c>
      <c r="H51" s="77">
        <f t="shared" si="11"/>
        <v>176587801.21999997</v>
      </c>
      <c r="I51" s="78">
        <f t="shared" si="2"/>
        <v>0.86870620305330493</v>
      </c>
      <c r="M51" s="79"/>
      <c r="N51" s="232"/>
      <c r="P51" s="80"/>
      <c r="Q51" s="81"/>
    </row>
    <row r="52" spans="1:256" x14ac:dyDescent="0.25">
      <c r="B52" s="6" t="s">
        <v>17</v>
      </c>
      <c r="C52" s="56">
        <f t="shared" ref="C52:H52" si="12">SUM(C53:C63)</f>
        <v>299813633</v>
      </c>
      <c r="D52" s="56">
        <f t="shared" si="12"/>
        <v>0</v>
      </c>
      <c r="E52" s="56">
        <f t="shared" si="12"/>
        <v>0</v>
      </c>
      <c r="F52" s="57">
        <f t="shared" si="12"/>
        <v>299813633</v>
      </c>
      <c r="G52" s="58">
        <f t="shared" si="12"/>
        <v>252859385</v>
      </c>
      <c r="H52" s="59">
        <f t="shared" si="12"/>
        <v>46954248</v>
      </c>
      <c r="I52" s="53">
        <f t="shared" si="2"/>
        <v>0.84338854931256579</v>
      </c>
      <c r="M52" s="79"/>
      <c r="N52" s="232"/>
      <c r="P52" s="55"/>
    </row>
    <row r="53" spans="1:256" x14ac:dyDescent="0.25">
      <c r="B53" s="8" t="s">
        <v>18</v>
      </c>
      <c r="C53" s="54">
        <v>153430743</v>
      </c>
      <c r="D53" s="39"/>
      <c r="E53" s="54"/>
      <c r="F53" s="70">
        <f t="shared" ref="F53:F63" si="13">SUM(C53:E53)</f>
        <v>153430743</v>
      </c>
      <c r="G53" s="71">
        <f>+'[3]SISTEMAS DE INF '!I50+[3]ITPA!I81+'[3]PROMOCION AL CONSUMO'!I51</f>
        <v>124303126</v>
      </c>
      <c r="H53" s="72">
        <f t="shared" si="1"/>
        <v>29127617</v>
      </c>
      <c r="I53" s="43">
        <f t="shared" si="2"/>
        <v>0.81015788341714545</v>
      </c>
      <c r="M53" s="79"/>
      <c r="N53" s="232"/>
    </row>
    <row r="54" spans="1:256" x14ac:dyDescent="0.25">
      <c r="B54" s="8" t="s">
        <v>19</v>
      </c>
      <c r="C54" s="54">
        <f>+'[2]SISTEMAS DE INF '!V9+[2]ITPA!V9+'[2]PROMOCION AL CONSUMO'!V9</f>
        <v>6262301</v>
      </c>
      <c r="D54" s="39"/>
      <c r="E54" s="54"/>
      <c r="F54" s="70">
        <f t="shared" si="13"/>
        <v>6262301</v>
      </c>
      <c r="G54" s="71">
        <f>+'[3]SISTEMAS DE INF '!I55+[3]ITPA!I86+'[3]PROMOCION AL CONSUMO'!I56</f>
        <v>5069566</v>
      </c>
      <c r="H54" s="72">
        <f t="shared" si="1"/>
        <v>1192735</v>
      </c>
      <c r="I54" s="43">
        <f t="shared" si="2"/>
        <v>0.80953726114410662</v>
      </c>
      <c r="M54" s="79"/>
      <c r="N54" s="232"/>
    </row>
    <row r="55" spans="1:256" x14ac:dyDescent="0.25">
      <c r="B55" s="8" t="s">
        <v>20</v>
      </c>
      <c r="C55" s="54">
        <v>318847</v>
      </c>
      <c r="D55" s="39"/>
      <c r="E55" s="54"/>
      <c r="F55" s="70">
        <f t="shared" si="13"/>
        <v>318847</v>
      </c>
      <c r="G55" s="71">
        <f>+[3]ITPA!I91</f>
        <v>308562</v>
      </c>
      <c r="H55" s="72">
        <f t="shared" si="1"/>
        <v>10285</v>
      </c>
      <c r="I55" s="43">
        <f t="shared" si="2"/>
        <v>0.96774314953567075</v>
      </c>
      <c r="N55" s="232"/>
    </row>
    <row r="56" spans="1:256" x14ac:dyDescent="0.25">
      <c r="B56" s="8" t="s">
        <v>21</v>
      </c>
      <c r="C56" s="54">
        <f>+'[2]SISTEMAS DE INF '!V11+[2]ITPA!V11+'[2]PROMOCION AL CONSUMO'!V11</f>
        <v>12595463</v>
      </c>
      <c r="D56" s="39"/>
      <c r="E56" s="54"/>
      <c r="F56" s="70">
        <f t="shared" si="13"/>
        <v>12595463</v>
      </c>
      <c r="G56" s="71">
        <f>+'[3]SISTEMAS DE INF '!I63+[3]ITPA!I96+'[3]PROMOCION AL CONSUMO'!I64</f>
        <v>10164859</v>
      </c>
      <c r="H56" s="72">
        <f t="shared" si="1"/>
        <v>2430604</v>
      </c>
      <c r="I56" s="43">
        <f t="shared" si="2"/>
        <v>0.80702543447589026</v>
      </c>
      <c r="N56" s="232"/>
    </row>
    <row r="57" spans="1:256" x14ac:dyDescent="0.25">
      <c r="A57" s="22"/>
      <c r="B57" s="8" t="s">
        <v>22</v>
      </c>
      <c r="C57" s="60">
        <f>+'[2]MECANISMO DE DEFENSA'!N9+'[2]PREVALENCIA Verticillium-POD'!W7+'[2]MEJORAMIENTO GENETICO'!V8</f>
        <v>62411000</v>
      </c>
      <c r="D57" s="38"/>
      <c r="E57" s="60"/>
      <c r="F57" s="82">
        <f t="shared" si="13"/>
        <v>62411000</v>
      </c>
      <c r="G57" s="71">
        <f>+'[3]SISTEMAS DE INF '!I68+'[3]MECANISMO DE DEFENSA'!I15+[3]ITPA!I101+'[3]Verticillium-POD'!I32+'[3]MEJORAMIENTO GENETICO'!I34+'[3]PROMOCION AL CONSUMO'!I69</f>
        <v>60762817</v>
      </c>
      <c r="H57" s="83">
        <f t="shared" si="1"/>
        <v>1648183</v>
      </c>
      <c r="I57" s="48">
        <f t="shared" si="2"/>
        <v>0.97359146624793702</v>
      </c>
      <c r="N57" s="23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hidden="1" x14ac:dyDescent="0.25">
      <c r="B58" s="8" t="s">
        <v>23</v>
      </c>
      <c r="C58" s="54">
        <v>0</v>
      </c>
      <c r="D58" s="54"/>
      <c r="E58" s="54"/>
      <c r="F58" s="70">
        <f t="shared" si="13"/>
        <v>0</v>
      </c>
      <c r="G58" s="71">
        <f t="shared" ref="G58" si="14">+F58</f>
        <v>0</v>
      </c>
      <c r="H58" s="72">
        <f t="shared" si="1"/>
        <v>0</v>
      </c>
      <c r="I58" s="43" t="e">
        <f t="shared" si="2"/>
        <v>#DIV/0!</v>
      </c>
      <c r="N58" s="232"/>
    </row>
    <row r="59" spans="1:256" x14ac:dyDescent="0.25">
      <c r="B59" s="8" t="s">
        <v>24</v>
      </c>
      <c r="C59" s="54">
        <f>+'[2]SISTEMAS DE INF '!V12+[2]ITPA!V12+'[2]PROMOCION AL CONSUMO'!V12</f>
        <v>12551421</v>
      </c>
      <c r="D59" s="39"/>
      <c r="E59" s="54"/>
      <c r="F59" s="70">
        <f t="shared" si="13"/>
        <v>12551421</v>
      </c>
      <c r="G59" s="71">
        <f>+'[3]SISTEMAS DE INF '!I74+[3]ITPA!I107+'[3]PROMOCION AL CONSUMO'!I75</f>
        <v>10164855</v>
      </c>
      <c r="H59" s="72">
        <f t="shared" si="1"/>
        <v>2386566</v>
      </c>
      <c r="I59" s="43">
        <f t="shared" si="2"/>
        <v>0.80985690783537578</v>
      </c>
      <c r="N59" s="232"/>
    </row>
    <row r="60" spans="1:256" x14ac:dyDescent="0.25">
      <c r="B60" s="8" t="s">
        <v>25</v>
      </c>
      <c r="C60" s="54">
        <v>2391598</v>
      </c>
      <c r="D60" s="39"/>
      <c r="E60" s="54"/>
      <c r="F60" s="70">
        <f t="shared" si="13"/>
        <v>2391598</v>
      </c>
      <c r="G60" s="71">
        <f>+'[3]SISTEMAS DE INF '!I79+[3]ITPA!I112+'[3]PROMOCION AL CONSUMO'!I80</f>
        <v>1845696</v>
      </c>
      <c r="H60" s="72">
        <f t="shared" si="1"/>
        <v>545902</v>
      </c>
      <c r="I60" s="43">
        <f t="shared" si="2"/>
        <v>0.77174173920533462</v>
      </c>
      <c r="N60" s="232"/>
    </row>
    <row r="61" spans="1:256" x14ac:dyDescent="0.25">
      <c r="B61" s="8" t="s">
        <v>26</v>
      </c>
      <c r="C61" s="54">
        <f>+'[2]SISTEMAS DE INF '!V14+'[2]SISTEMAS DE INF '!V15+'[2]SISTEMAS DE INF '!V16+[2]ITPA!V14+[2]ITPA!V15+[2]ITPA!V16+'[2]PROMOCION AL CONSUMO'!V14+'[2]PROMOCION AL CONSUMO'!V15+'[2]PROMOCION AL CONSUMO'!V16</f>
        <v>34380660</v>
      </c>
      <c r="D61" s="39"/>
      <c r="E61" s="54"/>
      <c r="F61" s="70">
        <f t="shared" si="13"/>
        <v>34380660</v>
      </c>
      <c r="G61" s="71">
        <f>+'[3]SISTEMAS DE INF '!I84+'[3]SISTEMAS DE INF '!I89+'[3]SISTEMAS DE INF '!I94+[3]ITPA!I117+[3]ITPA!I122+[3]ITPA!I127+'[3]PROMOCION AL CONSUMO'!I85+'[3]PROMOCION AL CONSUMO'!I90+'[3]PROMOCION AL CONSUMO'!I95</f>
        <v>27520004</v>
      </c>
      <c r="H61" s="72">
        <f t="shared" si="1"/>
        <v>6860656</v>
      </c>
      <c r="I61" s="43">
        <f t="shared" si="2"/>
        <v>0.80045013679202204</v>
      </c>
      <c r="N61" s="232"/>
    </row>
    <row r="62" spans="1:256" x14ac:dyDescent="0.25">
      <c r="B62" s="8" t="s">
        <v>27</v>
      </c>
      <c r="C62" s="54">
        <f>+'[2]SISTEMAS DE INF '!V17+[2]ITPA!V17+'[2]PROMOCION AL CONSUMO'!V17</f>
        <v>6879600</v>
      </c>
      <c r="D62" s="39"/>
      <c r="E62" s="54"/>
      <c r="F62" s="70">
        <f t="shared" si="13"/>
        <v>6879600</v>
      </c>
      <c r="G62" s="71">
        <f>+'[3]SISTEMAS DE INF '!I99+[3]ITPA!I132+'[3]PROMOCION AL CONSUMO'!I100</f>
        <v>5652600</v>
      </c>
      <c r="H62" s="72">
        <f t="shared" si="1"/>
        <v>1227000</v>
      </c>
      <c r="I62" s="43">
        <f t="shared" si="2"/>
        <v>0.82164660736089312</v>
      </c>
      <c r="N62" s="232"/>
    </row>
    <row r="63" spans="1:256" x14ac:dyDescent="0.25">
      <c r="B63" s="8" t="s">
        <v>28</v>
      </c>
      <c r="C63" s="54">
        <f>+'[2]SISTEMAS DE INF '!V18+'[2]SISTEMAS DE INF '!V19+[2]ITPA!V18+[2]ITPA!V19+'[2]PROMOCION AL CONSUMO'!V18+'[2]PROMOCION AL CONSUMO'!V19</f>
        <v>8592000</v>
      </c>
      <c r="D63" s="39"/>
      <c r="E63" s="54"/>
      <c r="F63" s="70">
        <f t="shared" si="13"/>
        <v>8592000</v>
      </c>
      <c r="G63" s="71">
        <f>+'[3]SISTEMAS DE INF '!I104+'[3]SISTEMAS DE INF '!I109+[3]ITPA!I142+[3]ITPA!I137+'[3]PROMOCION AL CONSUMO'!I110+'[3]PROMOCION AL CONSUMO'!I105</f>
        <v>7067300</v>
      </c>
      <c r="H63" s="72">
        <f t="shared" si="1"/>
        <v>1524700</v>
      </c>
      <c r="I63" s="43">
        <f t="shared" si="2"/>
        <v>0.82254422718808196</v>
      </c>
      <c r="N63" s="232"/>
    </row>
    <row r="64" spans="1:256" x14ac:dyDescent="0.25">
      <c r="B64" s="6" t="s">
        <v>29</v>
      </c>
      <c r="C64" s="56">
        <f t="shared" ref="C64:H64" si="15">SUM(C65:C81)</f>
        <v>110016771</v>
      </c>
      <c r="D64" s="56">
        <f t="shared" si="15"/>
        <v>0</v>
      </c>
      <c r="E64" s="56">
        <f t="shared" si="15"/>
        <v>0</v>
      </c>
      <c r="F64" s="57">
        <f t="shared" si="15"/>
        <v>110016771</v>
      </c>
      <c r="G64" s="58">
        <f t="shared" si="15"/>
        <v>45900450.700000003</v>
      </c>
      <c r="H64" s="59">
        <f t="shared" si="15"/>
        <v>64116320.299999997</v>
      </c>
      <c r="I64" s="53">
        <f t="shared" si="2"/>
        <v>0.41721321470160222</v>
      </c>
      <c r="N64" s="232"/>
      <c r="P64" s="55"/>
    </row>
    <row r="65" spans="1:256" x14ac:dyDescent="0.25">
      <c r="B65" s="11" t="s">
        <v>64</v>
      </c>
      <c r="C65" s="60">
        <f>+'[2]SISTEMAS DE INF '!V21+[2]ITPA!V40+'[2]PROMOCION AL CONSUMO'!V21</f>
        <v>895000</v>
      </c>
      <c r="D65" s="38"/>
      <c r="E65" s="60"/>
      <c r="F65" s="45">
        <f t="shared" ref="F65:F81" si="16">SUM(C65:E65)</f>
        <v>895000</v>
      </c>
      <c r="G65" s="46">
        <f>+'[3]SISTEMAS DE INF '!I115+[3]ITPA!I193+'[3]PROMOCION AL CONSUMO'!I116</f>
        <v>230531</v>
      </c>
      <c r="H65" s="47">
        <f t="shared" si="1"/>
        <v>664469</v>
      </c>
      <c r="I65" s="61">
        <f t="shared" si="2"/>
        <v>0.25757653631284916</v>
      </c>
      <c r="N65" s="232"/>
    </row>
    <row r="66" spans="1:256" x14ac:dyDescent="0.25">
      <c r="B66" s="11" t="s">
        <v>69</v>
      </c>
      <c r="C66" s="54">
        <f>+[2]ITPA!V48+'[2]MEJORAMIENTO GENETICO'!V15</f>
        <v>25000000</v>
      </c>
      <c r="D66" s="39"/>
      <c r="E66" s="54"/>
      <c r="F66" s="40">
        <f t="shared" si="16"/>
        <v>25000000</v>
      </c>
      <c r="G66" s="41">
        <f>+[3]ITPA!I202+'[3]MEJORAMIENTO GENETICO'!I53</f>
        <v>9102350</v>
      </c>
      <c r="H66" s="42">
        <f t="shared" si="1"/>
        <v>15897650</v>
      </c>
      <c r="I66" s="61">
        <f t="shared" si="2"/>
        <v>0.36409399999999997</v>
      </c>
      <c r="N66" s="232"/>
    </row>
    <row r="67" spans="1:256" hidden="1" x14ac:dyDescent="0.25">
      <c r="B67" s="11" t="s">
        <v>30</v>
      </c>
      <c r="C67" s="54">
        <v>0</v>
      </c>
      <c r="D67" s="39"/>
      <c r="E67" s="54"/>
      <c r="F67" s="40">
        <f t="shared" si="16"/>
        <v>0</v>
      </c>
      <c r="G67" s="41"/>
      <c r="H67" s="42">
        <f t="shared" si="1"/>
        <v>0</v>
      </c>
      <c r="I67" s="43" t="e">
        <f t="shared" si="2"/>
        <v>#DIV/0!</v>
      </c>
      <c r="N67" s="232"/>
    </row>
    <row r="68" spans="1:256" x14ac:dyDescent="0.25">
      <c r="B68" s="11" t="s">
        <v>31</v>
      </c>
      <c r="C68" s="54">
        <f>+[2]ITPA!V50</f>
        <v>2387500</v>
      </c>
      <c r="D68" s="39"/>
      <c r="E68" s="54"/>
      <c r="F68" s="40">
        <f t="shared" si="16"/>
        <v>2387500</v>
      </c>
      <c r="G68" s="41">
        <f>+[3]ITPA!I206</f>
        <v>2080399</v>
      </c>
      <c r="H68" s="42">
        <f t="shared" si="1"/>
        <v>307101</v>
      </c>
      <c r="I68" s="43">
        <f t="shared" si="2"/>
        <v>0.87137130890052361</v>
      </c>
      <c r="N68" s="232"/>
    </row>
    <row r="69" spans="1:256" x14ac:dyDescent="0.25">
      <c r="B69" s="11" t="s">
        <v>32</v>
      </c>
      <c r="C69" s="54">
        <f>+[2]ITPA!V61</f>
        <v>1090000</v>
      </c>
      <c r="D69" s="39"/>
      <c r="E69" s="54"/>
      <c r="F69" s="40">
        <f t="shared" si="16"/>
        <v>1090000</v>
      </c>
      <c r="G69" s="41">
        <f>+[3]ITPA!I230</f>
        <v>1090000</v>
      </c>
      <c r="H69" s="42">
        <f t="shared" si="1"/>
        <v>0</v>
      </c>
      <c r="I69" s="43">
        <f t="shared" si="2"/>
        <v>1</v>
      </c>
      <c r="N69" s="232"/>
    </row>
    <row r="70" spans="1:256" x14ac:dyDescent="0.25">
      <c r="B70" s="11" t="s">
        <v>33</v>
      </c>
      <c r="C70" s="54">
        <f>+'[2]SISTEMAS DE INF '!V33+[2]ITPA!V56+'[2]PREVALENCIA Verticillium-POD'!W11+'[2]MEJORAMIENTO GENETICO'!V11+'[2]PROMOCION AL CONSUMO'!Y27</f>
        <v>35480796</v>
      </c>
      <c r="D70" s="39"/>
      <c r="E70" s="54"/>
      <c r="F70" s="40">
        <f t="shared" si="16"/>
        <v>35480796</v>
      </c>
      <c r="G70" s="41">
        <f>+'[3]SISTEMAS DE INF '!I128+[3]ITPA!I211+'[3]Verticillium-POD'!I51+'[3]MEJORAMIENTO GENETICO'!I48+'[3]PROMOCION AL CONSUMO'!I120</f>
        <v>22979232</v>
      </c>
      <c r="H70" s="42">
        <f t="shared" si="1"/>
        <v>12501564</v>
      </c>
      <c r="I70" s="61">
        <f t="shared" si="2"/>
        <v>0.64765266258400744</v>
      </c>
      <c r="N70" s="232"/>
    </row>
    <row r="71" spans="1:256" x14ac:dyDescent="0.25">
      <c r="B71" s="11" t="s">
        <v>34</v>
      </c>
      <c r="C71" s="54">
        <f>+'[2]SISTEMAS DE INF '!V38+'[2]SISTEMAS DE INF '!V40+[2]ITPA!V26+[2]ITPA!V31+'[2]MEJORAMIENTO GENETICO'!V13+'[2]PROMOCION AL CONSUMO'!V30</f>
        <v>13970000</v>
      </c>
      <c r="D71" s="39"/>
      <c r="E71" s="54"/>
      <c r="F71" s="40">
        <f t="shared" si="16"/>
        <v>13970000</v>
      </c>
      <c r="G71" s="41">
        <f>+[3]ITPA!I148+[3]ITPA!I151+'[3]MEJORAMIENTO GENETICO'!I59+'[3]PROMOCION AL CONSUMO'!I127</f>
        <v>1635390</v>
      </c>
      <c r="H71" s="42">
        <f t="shared" si="1"/>
        <v>12334610</v>
      </c>
      <c r="I71" s="61">
        <f>+G71/F71</f>
        <v>0.11706442376521117</v>
      </c>
      <c r="M71" s="84"/>
      <c r="N71" s="232"/>
    </row>
    <row r="72" spans="1:256" x14ac:dyDescent="0.25">
      <c r="B72" s="11" t="s">
        <v>35</v>
      </c>
      <c r="C72" s="54">
        <f>+'[2]SISTEMAS DE INF '!V36+[2]ITPA!V65</f>
        <v>24152000</v>
      </c>
      <c r="D72" s="39"/>
      <c r="E72" s="54"/>
      <c r="F72" s="40">
        <f t="shared" si="16"/>
        <v>24152000</v>
      </c>
      <c r="G72" s="41">
        <f>+'[3]SISTEMAS DE INF '!I139+[3]ITPA!I246</f>
        <v>3950000</v>
      </c>
      <c r="H72" s="42">
        <f t="shared" si="1"/>
        <v>20202000</v>
      </c>
      <c r="I72" s="61">
        <f t="shared" si="2"/>
        <v>0.16354753229546207</v>
      </c>
      <c r="N72" s="232"/>
    </row>
    <row r="73" spans="1:256" x14ac:dyDescent="0.25">
      <c r="B73" s="11" t="s">
        <v>36</v>
      </c>
      <c r="C73" s="54">
        <f>+'[2]SISTEMAS DE INF '!V29+[2]ITPA!V62+'[2]PREVALENCIA Verticillium-POD'!W16+'[2]MEJORAMIENTO GENETICO'!V22+'[2]PROMOCION AL CONSUMO'!V32</f>
        <v>2380000</v>
      </c>
      <c r="D73" s="39"/>
      <c r="E73" s="54"/>
      <c r="F73" s="40">
        <f t="shared" si="16"/>
        <v>2380000</v>
      </c>
      <c r="G73" s="41">
        <f>+'[3]SISTEMAS DE INF '!I119+[3]ITPA!I235+'[3]Verticillium-POD'!I48+'[3]MEJORAMIENTO GENETICO'!I44+'[3]PROMOCION AL CONSUMO'!I130</f>
        <v>1351880.7</v>
      </c>
      <c r="H73" s="42">
        <f t="shared" si="1"/>
        <v>1028119.3</v>
      </c>
      <c r="I73" s="61">
        <f t="shared" si="2"/>
        <v>0.56801710084033608</v>
      </c>
      <c r="N73" s="232"/>
    </row>
    <row r="74" spans="1:256" x14ac:dyDescent="0.25">
      <c r="B74" s="11" t="s">
        <v>65</v>
      </c>
      <c r="C74" s="54">
        <f>+[2]ITPA!V53</f>
        <v>603362</v>
      </c>
      <c r="D74" s="39"/>
      <c r="E74" s="54"/>
      <c r="F74" s="40">
        <f t="shared" si="16"/>
        <v>603362</v>
      </c>
      <c r="G74" s="41">
        <f>+[3]ITPA!I197</f>
        <v>572666</v>
      </c>
      <c r="H74" s="42">
        <f t="shared" si="1"/>
        <v>30696</v>
      </c>
      <c r="I74" s="43">
        <f t="shared" si="2"/>
        <v>0.94912506919560724</v>
      </c>
      <c r="N74" s="232"/>
    </row>
    <row r="75" spans="1:256" x14ac:dyDescent="0.25">
      <c r="B75" s="11" t="s">
        <v>37</v>
      </c>
      <c r="C75" s="54">
        <f>+'[2]SISTEMAS DE INF '!V44+[2]ITPA!V67+'[2]PREVALENCIA Verticillium-POD'!W13+'[2]MEJORAMIENTO GENETICO'!V20+'[2]PROMOCION AL CONSUMO'!V36</f>
        <v>4058113</v>
      </c>
      <c r="D75" s="39"/>
      <c r="E75" s="54"/>
      <c r="F75" s="40">
        <f t="shared" si="16"/>
        <v>4058113</v>
      </c>
      <c r="G75" s="41">
        <f>+'[3]SISTEMAS DE INF '!I142+[3]ITPA!I249+'[3]Verticillium-POD'!I57+'[3]MEJORAMIENTO GENETICO'!I63+'[3]PROMOCION AL CONSUMO'!I136</f>
        <v>2908002</v>
      </c>
      <c r="H75" s="42">
        <f t="shared" si="1"/>
        <v>1150111</v>
      </c>
      <c r="I75" s="43">
        <f t="shared" si="2"/>
        <v>0.7165897056094791</v>
      </c>
      <c r="N75" s="232"/>
    </row>
    <row r="76" spans="1:256" hidden="1" x14ac:dyDescent="0.25">
      <c r="B76" s="11" t="s">
        <v>38</v>
      </c>
      <c r="C76" s="54">
        <v>0</v>
      </c>
      <c r="D76" s="39"/>
      <c r="E76" s="54"/>
      <c r="F76" s="40">
        <f t="shared" si="16"/>
        <v>0</v>
      </c>
      <c r="G76" s="41"/>
      <c r="H76" s="42">
        <f t="shared" ref="H76:H101" si="17">+F76-G76</f>
        <v>0</v>
      </c>
      <c r="I76" s="43" t="e">
        <f t="shared" ref="I76:I102" si="18">+G76/F76</f>
        <v>#DIV/0!</v>
      </c>
      <c r="N76" s="232"/>
    </row>
    <row r="77" spans="1:256" hidden="1" x14ac:dyDescent="0.25">
      <c r="B77" s="11" t="s">
        <v>39</v>
      </c>
      <c r="C77" s="54">
        <v>0</v>
      </c>
      <c r="D77" s="39"/>
      <c r="E77" s="54"/>
      <c r="F77" s="40">
        <f t="shared" si="16"/>
        <v>0</v>
      </c>
      <c r="G77" s="41"/>
      <c r="H77" s="42">
        <f t="shared" si="17"/>
        <v>0</v>
      </c>
      <c r="I77" s="43" t="e">
        <f t="shared" si="18"/>
        <v>#DIV/0!</v>
      </c>
      <c r="N77" s="232"/>
    </row>
    <row r="78" spans="1:256" hidden="1" x14ac:dyDescent="0.25">
      <c r="B78" s="11" t="s">
        <v>43</v>
      </c>
      <c r="C78" s="85">
        <v>0</v>
      </c>
      <c r="D78" s="39"/>
      <c r="E78" s="54"/>
      <c r="F78" s="40">
        <f t="shared" si="16"/>
        <v>0</v>
      </c>
      <c r="G78" s="41"/>
      <c r="H78" s="42">
        <f t="shared" si="17"/>
        <v>0</v>
      </c>
      <c r="I78" s="43" t="e">
        <f t="shared" si="18"/>
        <v>#DIV/0!</v>
      </c>
      <c r="N78" s="232"/>
    </row>
    <row r="79" spans="1:256" hidden="1" x14ac:dyDescent="0.25">
      <c r="A79" s="22"/>
      <c r="B79" s="8" t="s">
        <v>66</v>
      </c>
      <c r="C79" s="60">
        <v>0</v>
      </c>
      <c r="D79" s="38"/>
      <c r="E79" s="60"/>
      <c r="F79" s="45">
        <f t="shared" si="16"/>
        <v>0</v>
      </c>
      <c r="G79" s="46"/>
      <c r="H79" s="47">
        <f t="shared" si="17"/>
        <v>0</v>
      </c>
      <c r="I79" s="48" t="e">
        <f t="shared" si="18"/>
        <v>#DIV/0!</v>
      </c>
      <c r="N79" s="23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hidden="1" x14ac:dyDescent="0.25">
      <c r="B80" s="11" t="s">
        <v>40</v>
      </c>
      <c r="C80" s="54">
        <v>0</v>
      </c>
      <c r="D80" s="54"/>
      <c r="E80" s="54"/>
      <c r="F80" s="40">
        <f t="shared" si="16"/>
        <v>0</v>
      </c>
      <c r="G80" s="41"/>
      <c r="H80" s="42">
        <f t="shared" si="17"/>
        <v>0</v>
      </c>
      <c r="I80" s="43" t="e">
        <f t="shared" si="18"/>
        <v>#DIV/0!</v>
      </c>
      <c r="N80" s="232"/>
    </row>
    <row r="81" spans="2:14" hidden="1" x14ac:dyDescent="0.25">
      <c r="B81" s="11" t="s">
        <v>41</v>
      </c>
      <c r="C81" s="54">
        <v>0</v>
      </c>
      <c r="D81" s="54"/>
      <c r="E81" s="54"/>
      <c r="F81" s="40">
        <f t="shared" si="16"/>
        <v>0</v>
      </c>
      <c r="G81" s="41"/>
      <c r="H81" s="42">
        <f t="shared" si="17"/>
        <v>0</v>
      </c>
      <c r="I81" s="43" t="e">
        <f t="shared" si="18"/>
        <v>#DIV/0!</v>
      </c>
      <c r="N81" s="232"/>
    </row>
    <row r="82" spans="2:14" x14ac:dyDescent="0.25">
      <c r="B82" s="6" t="s">
        <v>44</v>
      </c>
      <c r="C82" s="56">
        <f t="shared" ref="C82:H82" si="19">+C83+C96+C100</f>
        <v>935151654</v>
      </c>
      <c r="D82" s="56">
        <f t="shared" si="19"/>
        <v>0</v>
      </c>
      <c r="E82" s="56">
        <f t="shared" si="19"/>
        <v>0</v>
      </c>
      <c r="F82" s="57">
        <f t="shared" si="19"/>
        <v>935151654</v>
      </c>
      <c r="G82" s="58">
        <f t="shared" si="19"/>
        <v>869634421.08000004</v>
      </c>
      <c r="H82" s="59">
        <f t="shared" si="19"/>
        <v>65517232.919999957</v>
      </c>
      <c r="I82" s="53">
        <f t="shared" si="18"/>
        <v>0.92993945672901523</v>
      </c>
      <c r="N82" s="232"/>
    </row>
    <row r="83" spans="2:14" x14ac:dyDescent="0.25">
      <c r="B83" s="12" t="s">
        <v>45</v>
      </c>
      <c r="C83" s="56">
        <f t="shared" ref="C83:H83" si="20">SUM(C84:C95)</f>
        <v>90004000</v>
      </c>
      <c r="D83" s="56">
        <f t="shared" si="20"/>
        <v>0</v>
      </c>
      <c r="E83" s="56">
        <f t="shared" si="20"/>
        <v>0</v>
      </c>
      <c r="F83" s="57">
        <f t="shared" si="20"/>
        <v>90004000</v>
      </c>
      <c r="G83" s="58">
        <f t="shared" si="20"/>
        <v>24567023</v>
      </c>
      <c r="H83" s="59">
        <f t="shared" si="20"/>
        <v>65436977</v>
      </c>
      <c r="I83" s="53">
        <f t="shared" si="18"/>
        <v>0.27295479089818231</v>
      </c>
      <c r="N83" s="232"/>
    </row>
    <row r="84" spans="2:14" hidden="1" x14ac:dyDescent="0.25">
      <c r="B84" s="7" t="s">
        <v>70</v>
      </c>
      <c r="C84" s="85">
        <f>+[2]ITPA!V70</f>
        <v>0</v>
      </c>
      <c r="D84" s="85"/>
      <c r="E84" s="85"/>
      <c r="F84" s="40">
        <f t="shared" ref="F84:F90" si="21">SUM(C84:E84)</f>
        <v>0</v>
      </c>
      <c r="G84" s="41"/>
      <c r="H84" s="42">
        <f t="shared" si="17"/>
        <v>0</v>
      </c>
      <c r="I84" s="43" t="e">
        <f t="shared" si="18"/>
        <v>#DIV/0!</v>
      </c>
      <c r="N84" s="232"/>
    </row>
    <row r="85" spans="2:14" x14ac:dyDescent="0.25">
      <c r="B85" s="7" t="s">
        <v>71</v>
      </c>
      <c r="C85" s="54">
        <f>+'[2]PREVALENCIA Verticillium-POD'!W24</f>
        <v>5400000</v>
      </c>
      <c r="D85" s="54"/>
      <c r="E85" s="54"/>
      <c r="F85" s="40">
        <f t="shared" si="21"/>
        <v>5400000</v>
      </c>
      <c r="G85" s="41">
        <f>+[3]ITPA!I258+'[3]Verticillium-POD'!I89+'[3]MEJORAMIENTO GENETICO'!N93</f>
        <v>0</v>
      </c>
      <c r="H85" s="42">
        <f t="shared" si="17"/>
        <v>5400000</v>
      </c>
      <c r="I85" s="61">
        <f t="shared" si="18"/>
        <v>0</v>
      </c>
      <c r="N85" s="232"/>
    </row>
    <row r="86" spans="2:14" x14ac:dyDescent="0.25">
      <c r="B86" s="7" t="s">
        <v>72</v>
      </c>
      <c r="C86" s="54">
        <f>+'[2]PREVALENCIA Verticillium-POD'!W25</f>
        <v>3000000</v>
      </c>
      <c r="D86" s="54"/>
      <c r="E86" s="54"/>
      <c r="F86" s="40">
        <f t="shared" si="21"/>
        <v>3000000</v>
      </c>
      <c r="G86" s="41">
        <f>+[3]ITPA!I268+'[3]Verticillium-POD'!I95+'[3]MEJORAMIENTO GENETICO'!H88</f>
        <v>0</v>
      </c>
      <c r="H86" s="42">
        <f t="shared" si="17"/>
        <v>3000000</v>
      </c>
      <c r="I86" s="61">
        <f t="shared" si="18"/>
        <v>0</v>
      </c>
      <c r="N86" s="232"/>
    </row>
    <row r="87" spans="2:14" x14ac:dyDescent="0.25">
      <c r="B87" s="7" t="s">
        <v>73</v>
      </c>
      <c r="C87" s="54">
        <f>+'[2]PREVALENCIA Verticillium-POD'!W22</f>
        <v>17500000</v>
      </c>
      <c r="D87" s="54"/>
      <c r="E87" s="54"/>
      <c r="F87" s="40">
        <f t="shared" si="21"/>
        <v>17500000</v>
      </c>
      <c r="G87" s="41">
        <f>+[3]ITPA!I264+'[3]Verticillium-POD'!I76+'[3]MEJORAMIENTO GENETICO'!I89</f>
        <v>17482500</v>
      </c>
      <c r="H87" s="42">
        <f t="shared" si="17"/>
        <v>17500</v>
      </c>
      <c r="I87" s="43">
        <f t="shared" si="18"/>
        <v>0.999</v>
      </c>
      <c r="N87" s="232"/>
    </row>
    <row r="88" spans="2:14" x14ac:dyDescent="0.25">
      <c r="B88" s="7" t="s">
        <v>74</v>
      </c>
      <c r="C88" s="54">
        <f>+[2]ITPA!V75</f>
        <v>4304000</v>
      </c>
      <c r="D88" s="54"/>
      <c r="E88" s="54"/>
      <c r="F88" s="40">
        <f t="shared" si="21"/>
        <v>4304000</v>
      </c>
      <c r="G88" s="41">
        <f>+[3]ITPA!I264</f>
        <v>0</v>
      </c>
      <c r="H88" s="42">
        <f t="shared" si="17"/>
        <v>4304000</v>
      </c>
      <c r="I88" s="61">
        <f t="shared" si="18"/>
        <v>0</v>
      </c>
      <c r="N88" s="232"/>
    </row>
    <row r="89" spans="2:14" x14ac:dyDescent="0.25">
      <c r="B89" s="7" t="s">
        <v>75</v>
      </c>
      <c r="C89" s="54">
        <f>+'[2]PREVALENCIA Verticillium-POD'!W20</f>
        <v>6000000</v>
      </c>
      <c r="D89" s="54"/>
      <c r="E89" s="54"/>
      <c r="F89" s="40">
        <f t="shared" si="21"/>
        <v>6000000</v>
      </c>
      <c r="G89" s="41">
        <f>+'[3]Verticillium-POD'!I64+'[3]MEJORAMIENTO GENETICO'!I88</f>
        <v>4151246</v>
      </c>
      <c r="H89" s="42">
        <f t="shared" si="17"/>
        <v>1848754</v>
      </c>
      <c r="I89" s="61">
        <f t="shared" si="18"/>
        <v>0.69187433333333337</v>
      </c>
      <c r="N89" s="232"/>
    </row>
    <row r="90" spans="2:14" x14ac:dyDescent="0.25">
      <c r="B90" s="7" t="s">
        <v>76</v>
      </c>
      <c r="C90" s="54">
        <f>+'[2]PREVALENCIA Verticillium-POD'!W23</f>
        <v>21000000</v>
      </c>
      <c r="D90" s="54"/>
      <c r="E90" s="54"/>
      <c r="F90" s="40">
        <f t="shared" si="21"/>
        <v>21000000</v>
      </c>
      <c r="G90" s="41">
        <f>+'[3]Verticillium-POD'!I82+'[3]MEJORAMIENTO GENETICO'!I88</f>
        <v>221436</v>
      </c>
      <c r="H90" s="42">
        <f t="shared" si="17"/>
        <v>20778564</v>
      </c>
      <c r="I90" s="61">
        <f t="shared" si="18"/>
        <v>1.0544571428571429E-2</v>
      </c>
      <c r="N90" s="232"/>
    </row>
    <row r="91" spans="2:14" x14ac:dyDescent="0.25">
      <c r="B91" s="7" t="s">
        <v>77</v>
      </c>
      <c r="C91" s="54">
        <f>+'[2]PREVALENCIA Verticillium-POD'!W21</f>
        <v>6000000</v>
      </c>
      <c r="D91" s="54"/>
      <c r="E91" s="54"/>
      <c r="F91" s="40">
        <f>SUM(C91:E91)</f>
        <v>6000000</v>
      </c>
      <c r="G91" s="41">
        <f>+'[3]Verticillium-POD'!I70+'[3]MEJORAMIENTO GENETICO'!I88</f>
        <v>0</v>
      </c>
      <c r="H91" s="42">
        <f t="shared" si="17"/>
        <v>6000000</v>
      </c>
      <c r="I91" s="61">
        <f t="shared" si="18"/>
        <v>0</v>
      </c>
      <c r="N91" s="232"/>
    </row>
    <row r="92" spans="2:14" x14ac:dyDescent="0.25">
      <c r="B92" s="7" t="s">
        <v>78</v>
      </c>
      <c r="C92" s="54">
        <f>+'[2]MEJORAMIENTO GENETICO'!V28</f>
        <v>5000000</v>
      </c>
      <c r="D92" s="54"/>
      <c r="E92" s="54"/>
      <c r="F92" s="40">
        <f>SUM(C92:E92)</f>
        <v>5000000</v>
      </c>
      <c r="G92" s="41">
        <f>+[3]ITPA!I261+'[3]Verticillium-POD'!I101+'[3]MEJORAMIENTO GENETICO'!I81</f>
        <v>2711841</v>
      </c>
      <c r="H92" s="42">
        <f t="shared" si="17"/>
        <v>2288159</v>
      </c>
      <c r="I92" s="61">
        <f t="shared" si="18"/>
        <v>0.54236819999999997</v>
      </c>
      <c r="N92" s="232"/>
    </row>
    <row r="93" spans="2:14" hidden="1" x14ac:dyDescent="0.25">
      <c r="B93" s="7" t="s">
        <v>79</v>
      </c>
      <c r="C93" s="54"/>
      <c r="D93" s="54"/>
      <c r="E93" s="54"/>
      <c r="F93" s="40">
        <f>SUM(C93:E93)</f>
        <v>0</v>
      </c>
      <c r="G93" s="41"/>
      <c r="H93" s="42">
        <f t="shared" si="17"/>
        <v>0</v>
      </c>
      <c r="I93" s="43" t="e">
        <f t="shared" si="18"/>
        <v>#DIV/0!</v>
      </c>
      <c r="N93" s="232"/>
    </row>
    <row r="94" spans="2:14" hidden="1" x14ac:dyDescent="0.25">
      <c r="B94" s="7" t="s">
        <v>80</v>
      </c>
      <c r="C94" s="54"/>
      <c r="D94" s="54"/>
      <c r="E94" s="54"/>
      <c r="F94" s="40">
        <f>SUM(C94:E94)</f>
        <v>0</v>
      </c>
      <c r="G94" s="41"/>
      <c r="H94" s="42">
        <f t="shared" si="17"/>
        <v>0</v>
      </c>
      <c r="I94" s="43" t="e">
        <f t="shared" si="18"/>
        <v>#DIV/0!</v>
      </c>
      <c r="N94" s="232"/>
    </row>
    <row r="95" spans="2:14" x14ac:dyDescent="0.25">
      <c r="B95" s="7" t="s">
        <v>81</v>
      </c>
      <c r="C95" s="54">
        <f>+'[2]MEJORAMIENTO GENETICO'!V27</f>
        <v>21800000</v>
      </c>
      <c r="D95" s="54"/>
      <c r="E95" s="54"/>
      <c r="F95" s="40">
        <f>SUM(C95:E95)</f>
        <v>21800000</v>
      </c>
      <c r="G95" s="41">
        <v>0</v>
      </c>
      <c r="H95" s="42">
        <f t="shared" si="17"/>
        <v>21800000</v>
      </c>
      <c r="I95" s="61">
        <f t="shared" si="18"/>
        <v>0</v>
      </c>
      <c r="N95" s="232"/>
    </row>
    <row r="96" spans="2:14" x14ac:dyDescent="0.25">
      <c r="B96" s="12" t="s">
        <v>82</v>
      </c>
      <c r="C96" s="56">
        <f>SUM(C97:C99)</f>
        <v>845147654</v>
      </c>
      <c r="D96" s="56">
        <f>SUM(D97:D99)</f>
        <v>0</v>
      </c>
      <c r="E96" s="56">
        <f>SUM(E97:E99)</f>
        <v>0</v>
      </c>
      <c r="F96" s="57">
        <f>SUM(F97:F99)</f>
        <v>845147654</v>
      </c>
      <c r="G96" s="58">
        <f>SUM(G97:G99)</f>
        <v>845067398.08000004</v>
      </c>
      <c r="H96" s="59">
        <f t="shared" si="17"/>
        <v>80255.919999957085</v>
      </c>
      <c r="I96" s="53">
        <f t="shared" si="18"/>
        <v>0.99990503917319051</v>
      </c>
      <c r="N96" s="232"/>
    </row>
    <row r="97" spans="1:256" x14ac:dyDescent="0.25">
      <c r="B97" s="7" t="s">
        <v>83</v>
      </c>
      <c r="C97" s="54">
        <f>+'[2]PROMOCION AL CONSUMO'!V39</f>
        <v>736797654</v>
      </c>
      <c r="D97" s="54"/>
      <c r="E97" s="54"/>
      <c r="F97" s="40">
        <f>SUM(C97:E97)</f>
        <v>736797654</v>
      </c>
      <c r="G97" s="41">
        <f>+'[3]PROMOCION AL CONSUMO'!I140</f>
        <v>736717398.08000004</v>
      </c>
      <c r="H97" s="42">
        <f t="shared" si="17"/>
        <v>80255.919999957085</v>
      </c>
      <c r="I97" s="43">
        <f t="shared" si="18"/>
        <v>0.99989107468032201</v>
      </c>
      <c r="N97" s="232"/>
    </row>
    <row r="98" spans="1:256" hidden="1" x14ac:dyDescent="0.25">
      <c r="B98" s="7" t="s">
        <v>84</v>
      </c>
      <c r="C98" s="54">
        <v>0</v>
      </c>
      <c r="D98" s="54"/>
      <c r="E98" s="54"/>
      <c r="F98" s="40">
        <f>SUM(C98:E98)</f>
        <v>0</v>
      </c>
      <c r="G98" s="41"/>
      <c r="H98" s="42">
        <f t="shared" si="17"/>
        <v>0</v>
      </c>
      <c r="I98" s="43" t="e">
        <f t="shared" si="18"/>
        <v>#DIV/0!</v>
      </c>
      <c r="N98" s="232"/>
    </row>
    <row r="99" spans="1:256" ht="16.5" thickBot="1" x14ac:dyDescent="0.3">
      <c r="B99" s="7" t="s">
        <v>85</v>
      </c>
      <c r="C99" s="54">
        <f>+'[2]PROMOCION AL CONSUMO'!V44</f>
        <v>108350000</v>
      </c>
      <c r="D99" s="54"/>
      <c r="E99" s="54"/>
      <c r="F99" s="40">
        <f>SUM(C99:E99)</f>
        <v>108350000</v>
      </c>
      <c r="G99" s="41">
        <f>+'[3]PROMOCION AL CONSUMO'!I167</f>
        <v>108350000</v>
      </c>
      <c r="H99" s="42">
        <f t="shared" si="17"/>
        <v>0</v>
      </c>
      <c r="I99" s="43">
        <f t="shared" si="18"/>
        <v>1</v>
      </c>
      <c r="N99" s="232"/>
    </row>
    <row r="100" spans="1:256" ht="16.5" hidden="1" thickBot="1" x14ac:dyDescent="0.3">
      <c r="B100" s="12" t="s">
        <v>86</v>
      </c>
      <c r="C100" s="56">
        <f>+C101</f>
        <v>0</v>
      </c>
      <c r="D100" s="56"/>
      <c r="E100" s="56">
        <f>+E101</f>
        <v>0</v>
      </c>
      <c r="F100" s="57">
        <f>+F101</f>
        <v>0</v>
      </c>
      <c r="G100" s="58">
        <f>+G101</f>
        <v>0</v>
      </c>
      <c r="H100" s="59">
        <f t="shared" si="17"/>
        <v>0</v>
      </c>
      <c r="I100" s="53" t="e">
        <f t="shared" si="18"/>
        <v>#DIV/0!</v>
      </c>
      <c r="N100" s="232"/>
    </row>
    <row r="101" spans="1:256" ht="16.5" hidden="1" thickBot="1" x14ac:dyDescent="0.3">
      <c r="B101" s="7" t="s">
        <v>87</v>
      </c>
      <c r="C101" s="85">
        <v>0</v>
      </c>
      <c r="D101" s="85"/>
      <c r="E101" s="85"/>
      <c r="F101" s="40">
        <f>SUM(C101:E101)</f>
        <v>0</v>
      </c>
      <c r="G101" s="41">
        <f>SUM(C101:E101)</f>
        <v>0</v>
      </c>
      <c r="H101" s="42">
        <f t="shared" si="17"/>
        <v>0</v>
      </c>
      <c r="I101" s="43" t="e">
        <f t="shared" si="18"/>
        <v>#DIV/0!</v>
      </c>
      <c r="N101" s="232"/>
    </row>
    <row r="102" spans="1:256" x14ac:dyDescent="0.25">
      <c r="B102" s="86" t="s">
        <v>88</v>
      </c>
      <c r="C102" s="87">
        <f t="shared" ref="C102:H102" si="22">+C51+C20+C49</f>
        <v>1819021942.0999999</v>
      </c>
      <c r="D102" s="87">
        <f t="shared" si="22"/>
        <v>0</v>
      </c>
      <c r="E102" s="87">
        <f t="shared" si="22"/>
        <v>0</v>
      </c>
      <c r="F102" s="88">
        <f t="shared" si="22"/>
        <v>1819021942.0999999</v>
      </c>
      <c r="G102" s="89">
        <f>+G51+G20+G49</f>
        <v>1534275972.25</v>
      </c>
      <c r="H102" s="90">
        <f t="shared" si="22"/>
        <v>235368009.24999997</v>
      </c>
      <c r="I102" s="37">
        <f t="shared" si="18"/>
        <v>0.84346204778526734</v>
      </c>
      <c r="N102" s="232"/>
    </row>
    <row r="103" spans="1:256" x14ac:dyDescent="0.25">
      <c r="B103" s="13" t="s">
        <v>47</v>
      </c>
      <c r="C103" s="56">
        <f t="shared" ref="C103:H103" si="23">+C18-C102</f>
        <v>72753730.900000095</v>
      </c>
      <c r="D103" s="56">
        <f t="shared" si="23"/>
        <v>0</v>
      </c>
      <c r="E103" s="56">
        <f t="shared" si="23"/>
        <v>151453219</v>
      </c>
      <c r="F103" s="57">
        <f t="shared" si="23"/>
        <v>224206949.9000001</v>
      </c>
      <c r="G103" s="58">
        <f t="shared" si="23"/>
        <v>0</v>
      </c>
      <c r="H103" s="59">
        <f t="shared" si="23"/>
        <v>273584910.5</v>
      </c>
      <c r="I103" s="53"/>
      <c r="N103" s="232"/>
    </row>
    <row r="104" spans="1:256" ht="16.5" thickBot="1" x14ac:dyDescent="0.3">
      <c r="B104" s="14" t="s">
        <v>48</v>
      </c>
      <c r="C104" s="91">
        <f t="shared" ref="C104:H104" si="24">SUM(C102:C103)</f>
        <v>1891775673</v>
      </c>
      <c r="D104" s="91">
        <f t="shared" si="24"/>
        <v>0</v>
      </c>
      <c r="E104" s="91">
        <f t="shared" si="24"/>
        <v>151453219</v>
      </c>
      <c r="F104" s="92">
        <f t="shared" si="24"/>
        <v>2043228892</v>
      </c>
      <c r="G104" s="93">
        <f t="shared" si="24"/>
        <v>1534275972.25</v>
      </c>
      <c r="H104" s="94">
        <f t="shared" si="24"/>
        <v>508952919.75</v>
      </c>
      <c r="I104" s="95"/>
      <c r="N104" s="232"/>
    </row>
    <row r="105" spans="1:256" x14ac:dyDescent="0.25">
      <c r="B105" s="1" t="s">
        <v>50</v>
      </c>
      <c r="C105" s="96">
        <f>+C18-C104</f>
        <v>0</v>
      </c>
      <c r="D105" s="96">
        <f>+D18-D104</f>
        <v>0</v>
      </c>
      <c r="E105" s="96">
        <f>+E18-E104</f>
        <v>0</v>
      </c>
      <c r="F105" s="96">
        <f>+F18-F104</f>
        <v>0</v>
      </c>
    </row>
    <row r="106" spans="1:256" x14ac:dyDescent="0.25">
      <c r="B106" s="97"/>
    </row>
    <row r="107" spans="1:256" x14ac:dyDescent="0.25">
      <c r="B107" s="97"/>
    </row>
    <row r="109" spans="1:256" x14ac:dyDescent="0.25">
      <c r="A109" s="98"/>
      <c r="B109" s="98"/>
      <c r="C109" s="99"/>
      <c r="D109" s="99"/>
      <c r="E109" s="99"/>
      <c r="F109" s="99"/>
      <c r="G109" s="99"/>
      <c r="H109" s="99"/>
      <c r="I109" s="100"/>
      <c r="J109" s="101"/>
      <c r="K109" s="101"/>
      <c r="L109" s="102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  <c r="ID109" s="98"/>
      <c r="IE109" s="98"/>
      <c r="IF109" s="98"/>
      <c r="IG109" s="98"/>
      <c r="IH109" s="98"/>
      <c r="II109" s="98"/>
      <c r="IJ109" s="98"/>
      <c r="IK109" s="98"/>
      <c r="IL109" s="98"/>
      <c r="IM109" s="98"/>
      <c r="IN109" s="98"/>
      <c r="IO109" s="98"/>
      <c r="IP109" s="98"/>
      <c r="IQ109" s="98"/>
      <c r="IR109" s="98"/>
      <c r="IS109" s="98"/>
      <c r="IT109" s="98"/>
      <c r="IU109" s="98"/>
      <c r="IV109" s="98"/>
    </row>
    <row r="110" spans="1:256" x14ac:dyDescent="0.25">
      <c r="A110" s="98"/>
      <c r="B110" s="98"/>
      <c r="C110" s="99"/>
      <c r="D110" s="99"/>
      <c r="E110" s="99"/>
      <c r="J110" s="101"/>
      <c r="K110" s="101"/>
      <c r="L110" s="102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X110" s="98"/>
      <c r="GY110" s="98"/>
      <c r="GZ110" s="98"/>
      <c r="HA110" s="98"/>
      <c r="HB110" s="98"/>
      <c r="HC110" s="98"/>
      <c r="HD110" s="98"/>
      <c r="HE110" s="98"/>
      <c r="HF110" s="98"/>
      <c r="HG110" s="98"/>
      <c r="HH110" s="98"/>
      <c r="HI110" s="98"/>
      <c r="HJ110" s="98"/>
      <c r="HK110" s="98"/>
      <c r="HL110" s="98"/>
      <c r="HM110" s="98"/>
      <c r="HN110" s="98"/>
      <c r="HO110" s="98"/>
      <c r="HP110" s="98"/>
      <c r="HQ110" s="98"/>
      <c r="HR110" s="98"/>
      <c r="HS110" s="98"/>
      <c r="HT110" s="98"/>
      <c r="HU110" s="98"/>
      <c r="HV110" s="98"/>
      <c r="HW110" s="98"/>
      <c r="HX110" s="98"/>
      <c r="HY110" s="98"/>
      <c r="HZ110" s="98"/>
      <c r="IA110" s="98"/>
      <c r="IB110" s="98"/>
      <c r="IC110" s="98"/>
      <c r="ID110" s="98"/>
      <c r="IE110" s="98"/>
      <c r="IF110" s="98"/>
      <c r="IG110" s="98"/>
      <c r="IH110" s="98"/>
      <c r="II110" s="98"/>
      <c r="IJ110" s="98"/>
      <c r="IK110" s="98"/>
      <c r="IL110" s="98"/>
      <c r="IM110" s="98"/>
      <c r="IN110" s="98"/>
      <c r="IO110" s="98"/>
      <c r="IP110" s="98"/>
      <c r="IQ110" s="98"/>
      <c r="IR110" s="98"/>
      <c r="IS110" s="98"/>
      <c r="IT110" s="98"/>
      <c r="IU110" s="98"/>
      <c r="IV110" s="98"/>
    </row>
    <row r="111" spans="1:256" x14ac:dyDescent="0.25">
      <c r="A111" s="98"/>
      <c r="B111" s="98"/>
      <c r="C111" s="99"/>
      <c r="D111" s="99"/>
      <c r="E111" s="99"/>
      <c r="J111" s="101"/>
      <c r="K111" s="101"/>
      <c r="L111" s="102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  <c r="ID111" s="98"/>
      <c r="IE111" s="98"/>
      <c r="IF111" s="98"/>
      <c r="IG111" s="98"/>
      <c r="IH111" s="98"/>
      <c r="II111" s="98"/>
      <c r="IJ111" s="98"/>
      <c r="IK111" s="98"/>
      <c r="IL111" s="98"/>
      <c r="IM111" s="98"/>
      <c r="IN111" s="98"/>
      <c r="IO111" s="98"/>
      <c r="IP111" s="98"/>
      <c r="IQ111" s="98"/>
      <c r="IR111" s="98"/>
      <c r="IS111" s="98"/>
      <c r="IT111" s="98"/>
      <c r="IU111" s="98"/>
      <c r="IV111" s="98"/>
    </row>
    <row r="112" spans="1:256" x14ac:dyDescent="0.25">
      <c r="A112" s="98"/>
      <c r="B112" s="98"/>
      <c r="C112" s="99"/>
      <c r="D112" s="99"/>
      <c r="E112" s="99"/>
      <c r="J112" s="101"/>
      <c r="K112" s="101"/>
      <c r="L112" s="102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98"/>
      <c r="HS112" s="98"/>
      <c r="HT112" s="98"/>
      <c r="HU112" s="98"/>
      <c r="HV112" s="98"/>
      <c r="HW112" s="98"/>
      <c r="HX112" s="98"/>
      <c r="HY112" s="98"/>
      <c r="HZ112" s="98"/>
      <c r="IA112" s="98"/>
      <c r="IB112" s="98"/>
      <c r="IC112" s="98"/>
      <c r="ID112" s="98"/>
      <c r="IE112" s="98"/>
      <c r="IF112" s="98"/>
      <c r="IG112" s="98"/>
      <c r="IH112" s="98"/>
      <c r="II112" s="98"/>
      <c r="IJ112" s="98"/>
      <c r="IK112" s="98"/>
      <c r="IL112" s="98"/>
      <c r="IM112" s="98"/>
      <c r="IN112" s="98"/>
      <c r="IO112" s="98"/>
      <c r="IP112" s="98"/>
      <c r="IQ112" s="98"/>
      <c r="IR112" s="98"/>
      <c r="IS112" s="98"/>
      <c r="IT112" s="98"/>
      <c r="IU112" s="98"/>
      <c r="IV112" s="98"/>
    </row>
    <row r="113" spans="1:256" x14ac:dyDescent="0.25">
      <c r="A113" s="98"/>
      <c r="B113" s="98"/>
      <c r="C113" s="99"/>
      <c r="D113" s="99"/>
      <c r="E113" s="99"/>
      <c r="F113" s="99"/>
      <c r="G113" s="99"/>
      <c r="H113" s="99"/>
      <c r="I113" s="100"/>
      <c r="J113" s="101"/>
      <c r="K113" s="101"/>
      <c r="L113" s="102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98"/>
      <c r="GT113" s="98"/>
      <c r="GU113" s="98"/>
      <c r="GV113" s="98"/>
      <c r="GW113" s="98"/>
      <c r="GX113" s="98"/>
      <c r="GY113" s="98"/>
      <c r="GZ113" s="98"/>
      <c r="HA113" s="98"/>
      <c r="HB113" s="98"/>
      <c r="HC113" s="98"/>
      <c r="HD113" s="98"/>
      <c r="HE113" s="98"/>
      <c r="HF113" s="98"/>
      <c r="HG113" s="98"/>
      <c r="HH113" s="98"/>
      <c r="HI113" s="98"/>
      <c r="HJ113" s="98"/>
      <c r="HK113" s="98"/>
      <c r="HL113" s="98"/>
      <c r="HM113" s="98"/>
      <c r="HN113" s="98"/>
      <c r="HO113" s="98"/>
      <c r="HP113" s="98"/>
      <c r="HQ113" s="98"/>
      <c r="HR113" s="98"/>
      <c r="HS113" s="98"/>
      <c r="HT113" s="98"/>
      <c r="HU113" s="98"/>
      <c r="HV113" s="98"/>
      <c r="HW113" s="98"/>
      <c r="HX113" s="98"/>
      <c r="HY113" s="98"/>
      <c r="HZ113" s="98"/>
      <c r="IA113" s="98"/>
      <c r="IB113" s="98"/>
      <c r="IC113" s="98"/>
      <c r="ID113" s="98"/>
      <c r="IE113" s="98"/>
      <c r="IF113" s="98"/>
      <c r="IG113" s="98"/>
      <c r="IH113" s="98"/>
      <c r="II113" s="98"/>
      <c r="IJ113" s="98"/>
      <c r="IK113" s="98"/>
      <c r="IL113" s="98"/>
      <c r="IM113" s="98"/>
      <c r="IN113" s="98"/>
      <c r="IO113" s="98"/>
      <c r="IP113" s="98"/>
      <c r="IQ113" s="98"/>
      <c r="IR113" s="98"/>
      <c r="IS113" s="98"/>
      <c r="IT113" s="98"/>
      <c r="IU113" s="98"/>
      <c r="IV113" s="98"/>
    </row>
    <row r="114" spans="1:256" x14ac:dyDescent="0.25">
      <c r="A114" s="98"/>
      <c r="B114" s="98"/>
      <c r="C114" s="99"/>
      <c r="D114" s="99"/>
      <c r="E114" s="99"/>
      <c r="F114" s="99"/>
      <c r="G114" s="99"/>
      <c r="H114" s="99"/>
      <c r="I114" s="100"/>
      <c r="J114" s="101"/>
      <c r="K114" s="101"/>
      <c r="L114" s="102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  <c r="GT114" s="98"/>
      <c r="GU114" s="98"/>
      <c r="GV114" s="98"/>
      <c r="GW114" s="98"/>
      <c r="GX114" s="98"/>
      <c r="GY114" s="98"/>
      <c r="GZ114" s="98"/>
      <c r="HA114" s="98"/>
      <c r="HB114" s="98"/>
      <c r="HC114" s="98"/>
      <c r="HD114" s="98"/>
      <c r="HE114" s="98"/>
      <c r="HF114" s="98"/>
      <c r="HG114" s="98"/>
      <c r="HH114" s="98"/>
      <c r="HI114" s="98"/>
      <c r="HJ114" s="98"/>
      <c r="HK114" s="98"/>
      <c r="HL114" s="98"/>
      <c r="HM114" s="98"/>
      <c r="HN114" s="98"/>
      <c r="HO114" s="98"/>
      <c r="HP114" s="98"/>
      <c r="HQ114" s="98"/>
      <c r="HR114" s="98"/>
      <c r="HS114" s="98"/>
      <c r="HT114" s="98"/>
      <c r="HU114" s="98"/>
      <c r="HV114" s="98"/>
      <c r="HW114" s="98"/>
      <c r="HX114" s="98"/>
      <c r="HY114" s="98"/>
      <c r="HZ114" s="98"/>
      <c r="IA114" s="98"/>
      <c r="IB114" s="98"/>
      <c r="IC114" s="98"/>
      <c r="ID114" s="98"/>
      <c r="IE114" s="98"/>
      <c r="IF114" s="98"/>
      <c r="IG114" s="98"/>
      <c r="IH114" s="98"/>
      <c r="II114" s="98"/>
      <c r="IJ114" s="98"/>
      <c r="IK114" s="98"/>
      <c r="IL114" s="98"/>
      <c r="IM114" s="98"/>
      <c r="IN114" s="98"/>
      <c r="IO114" s="98"/>
      <c r="IP114" s="98"/>
      <c r="IQ114" s="98"/>
      <c r="IR114" s="98"/>
      <c r="IS114" s="98"/>
      <c r="IT114" s="98"/>
      <c r="IU114" s="98"/>
      <c r="IV114" s="98"/>
    </row>
    <row r="115" spans="1:256" x14ac:dyDescent="0.25">
      <c r="A115" s="98"/>
      <c r="B115" s="98"/>
      <c r="C115" s="99"/>
      <c r="D115" s="99"/>
      <c r="E115" s="99"/>
      <c r="F115" s="99"/>
      <c r="G115" s="99"/>
      <c r="H115" s="99"/>
      <c r="I115" s="100"/>
      <c r="J115" s="101"/>
      <c r="K115" s="101"/>
      <c r="L115" s="102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X115" s="98"/>
      <c r="GY115" s="98"/>
      <c r="GZ115" s="98"/>
      <c r="HA115" s="98"/>
      <c r="HB115" s="98"/>
      <c r="HC115" s="98"/>
      <c r="HD115" s="98"/>
      <c r="HE115" s="98"/>
      <c r="HF115" s="98"/>
      <c r="HG115" s="98"/>
      <c r="HH115" s="98"/>
      <c r="HI115" s="98"/>
      <c r="HJ115" s="98"/>
      <c r="HK115" s="98"/>
      <c r="HL115" s="98"/>
      <c r="HM115" s="98"/>
      <c r="HN115" s="98"/>
      <c r="HO115" s="98"/>
      <c r="HP115" s="98"/>
      <c r="HQ115" s="98"/>
      <c r="HR115" s="98"/>
      <c r="HS115" s="98"/>
      <c r="HT115" s="98"/>
      <c r="HU115" s="98"/>
      <c r="HV115" s="98"/>
      <c r="HW115" s="98"/>
      <c r="HX115" s="98"/>
      <c r="HY115" s="98"/>
      <c r="HZ115" s="98"/>
      <c r="IA115" s="98"/>
      <c r="IB115" s="98"/>
      <c r="IC115" s="98"/>
      <c r="ID115" s="98"/>
      <c r="IE115" s="98"/>
      <c r="IF115" s="98"/>
      <c r="IG115" s="98"/>
      <c r="IH115" s="98"/>
      <c r="II115" s="98"/>
      <c r="IJ115" s="98"/>
      <c r="IK115" s="98"/>
      <c r="IL115" s="98"/>
      <c r="IM115" s="98"/>
      <c r="IN115" s="98"/>
      <c r="IO115" s="98"/>
      <c r="IP115" s="98"/>
      <c r="IQ115" s="98"/>
      <c r="IR115" s="98"/>
      <c r="IS115" s="98"/>
      <c r="IT115" s="98"/>
      <c r="IU115" s="98"/>
      <c r="IV115" s="98"/>
    </row>
  </sheetData>
  <autoFilter ref="B8:I105">
    <filterColumn colId="7">
      <filters blank="1">
        <filter val="0,00%"/>
        <filter val="1,05%"/>
        <filter val="100,00%"/>
        <filter val="11,71%"/>
        <filter val="130,73%"/>
        <filter val="137,94%"/>
        <filter val="16,35%"/>
        <filter val="1739,14%"/>
        <filter val="25,76%"/>
        <filter val="27,30%"/>
        <filter val="27,35%"/>
        <filter val="34,18%"/>
        <filter val="36,41%"/>
        <filter val="41,72%"/>
        <filter val="54,24%"/>
        <filter val="55,33%"/>
        <filter val="56,80%"/>
        <filter val="58,64%"/>
        <filter val="60,28%"/>
        <filter val="62,14%"/>
        <filter val="64,77%"/>
        <filter val="68,81%"/>
        <filter val="69,19%"/>
        <filter val="69,25%"/>
        <filter val="71,00%"/>
        <filter val="71,66%"/>
        <filter val="71,96%"/>
        <filter val="75,09%"/>
        <filter val="75,27%"/>
        <filter val="77,17%"/>
        <filter val="80,05%"/>
        <filter val="80,27%"/>
        <filter val="80,70%"/>
        <filter val="80,95%"/>
        <filter val="80,99%"/>
        <filter val="81,02%"/>
        <filter val="82,16%"/>
        <filter val="82,25%"/>
        <filter val="84,34%"/>
        <filter val="84,35%"/>
        <filter val="86,87%"/>
        <filter val="87,14%"/>
        <filter val="88,01%"/>
        <filter val="88,43%"/>
        <filter val="91,78%"/>
        <filter val="91,93%"/>
        <filter val="92,01%"/>
        <filter val="92,38%"/>
        <filter val="92,75%"/>
        <filter val="92,99%"/>
        <filter val="93,25%"/>
        <filter val="93,32%"/>
        <filter val="93,35%"/>
        <filter val="94,30%"/>
        <filter val="94,91%"/>
        <filter val="96,27%"/>
        <filter val="96,77%"/>
        <filter val="97,36%"/>
        <filter val="97,93%"/>
        <filter val="99,20%"/>
        <filter val="99,33%"/>
        <filter val="99,47%"/>
        <filter val="99,90%"/>
        <filter val="99,99%"/>
      </filters>
    </filterColumn>
  </autoFilter>
  <mergeCells count="8">
    <mergeCell ref="B8:B9"/>
    <mergeCell ref="H8:H9"/>
    <mergeCell ref="I8:I9"/>
    <mergeCell ref="B2:I2"/>
    <mergeCell ref="B3:I3"/>
    <mergeCell ref="B4:I4"/>
    <mergeCell ref="B5:I5"/>
    <mergeCell ref="B6:I6"/>
  </mergeCells>
  <pageMargins left="0.39370078740157483" right="0.39370078740157483" top="0.55118110236220474" bottom="0.3937007874015748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15"/>
  <sheetViews>
    <sheetView topLeftCell="B1" workbookViewId="0">
      <selection activeCell="B2" sqref="B2:V104"/>
    </sheetView>
  </sheetViews>
  <sheetFormatPr baseColWidth="10" defaultRowHeight="15.75" outlineLevelCol="1" x14ac:dyDescent="0.25"/>
  <cols>
    <col min="1" max="1" width="0.7109375" style="1" hidden="1" customWidth="1"/>
    <col min="2" max="2" width="37.85546875" style="1" bestFit="1" customWidth="1"/>
    <col min="3" max="3" width="18" style="96" hidden="1" customWidth="1" outlineLevel="1"/>
    <col min="4" max="4" width="14.140625" style="96" hidden="1" customWidth="1" outlineLevel="1"/>
    <col min="5" max="5" width="17" style="96" hidden="1" customWidth="1" outlineLevel="1"/>
    <col min="6" max="6" width="17.7109375" style="96" customWidth="1" collapsed="1"/>
    <col min="7" max="7" width="17.7109375" style="96" customWidth="1"/>
    <col min="8" max="8" width="15.5703125" style="96" customWidth="1"/>
    <col min="9" max="9" width="10.140625" style="19" customWidth="1"/>
    <col min="10" max="10" width="20.28515625" style="16" hidden="1" customWidth="1"/>
    <col min="11" max="11" width="18" style="16" hidden="1" customWidth="1"/>
    <col min="12" max="12" width="14.85546875" style="17" hidden="1" customWidth="1"/>
    <col min="13" max="14" width="14.85546875" style="22" customWidth="1"/>
    <col min="15" max="17" width="14.85546875" style="22" bestFit="1" customWidth="1"/>
    <col min="18" max="64" width="11.42578125" style="22"/>
    <col min="65" max="256" width="11.42578125" style="1"/>
    <col min="257" max="257" width="0" style="1" hidden="1" customWidth="1"/>
    <col min="258" max="258" width="37.85546875" style="1" bestFit="1" customWidth="1"/>
    <col min="259" max="261" width="0" style="1" hidden="1" customWidth="1"/>
    <col min="262" max="264" width="17.7109375" style="1" customWidth="1"/>
    <col min="265" max="265" width="10.140625" style="1" customWidth="1"/>
    <col min="266" max="266" width="20.28515625" style="1" customWidth="1"/>
    <col min="267" max="267" width="18" style="1" bestFit="1" customWidth="1"/>
    <col min="268" max="270" width="14.85546875" style="1" customWidth="1"/>
    <col min="271" max="273" width="14.85546875" style="1" bestFit="1" customWidth="1"/>
    <col min="274" max="512" width="11.42578125" style="1"/>
    <col min="513" max="513" width="0" style="1" hidden="1" customWidth="1"/>
    <col min="514" max="514" width="37.85546875" style="1" bestFit="1" customWidth="1"/>
    <col min="515" max="517" width="0" style="1" hidden="1" customWidth="1"/>
    <col min="518" max="520" width="17.7109375" style="1" customWidth="1"/>
    <col min="521" max="521" width="10.140625" style="1" customWidth="1"/>
    <col min="522" max="522" width="20.28515625" style="1" customWidth="1"/>
    <col min="523" max="523" width="18" style="1" bestFit="1" customWidth="1"/>
    <col min="524" max="526" width="14.85546875" style="1" customWidth="1"/>
    <col min="527" max="529" width="14.85546875" style="1" bestFit="1" customWidth="1"/>
    <col min="530" max="768" width="11.42578125" style="1"/>
    <col min="769" max="769" width="0" style="1" hidden="1" customWidth="1"/>
    <col min="770" max="770" width="37.85546875" style="1" bestFit="1" customWidth="1"/>
    <col min="771" max="773" width="0" style="1" hidden="1" customWidth="1"/>
    <col min="774" max="776" width="17.7109375" style="1" customWidth="1"/>
    <col min="777" max="777" width="10.140625" style="1" customWidth="1"/>
    <col min="778" max="778" width="20.28515625" style="1" customWidth="1"/>
    <col min="779" max="779" width="18" style="1" bestFit="1" customWidth="1"/>
    <col min="780" max="782" width="14.85546875" style="1" customWidth="1"/>
    <col min="783" max="785" width="14.85546875" style="1" bestFit="1" customWidth="1"/>
    <col min="786" max="1024" width="11.42578125" style="1"/>
    <col min="1025" max="1025" width="0" style="1" hidden="1" customWidth="1"/>
    <col min="1026" max="1026" width="37.85546875" style="1" bestFit="1" customWidth="1"/>
    <col min="1027" max="1029" width="0" style="1" hidden="1" customWidth="1"/>
    <col min="1030" max="1032" width="17.7109375" style="1" customWidth="1"/>
    <col min="1033" max="1033" width="10.140625" style="1" customWidth="1"/>
    <col min="1034" max="1034" width="20.28515625" style="1" customWidth="1"/>
    <col min="1035" max="1035" width="18" style="1" bestFit="1" customWidth="1"/>
    <col min="1036" max="1038" width="14.85546875" style="1" customWidth="1"/>
    <col min="1039" max="1041" width="14.85546875" style="1" bestFit="1" customWidth="1"/>
    <col min="1042" max="1280" width="11.42578125" style="1"/>
    <col min="1281" max="1281" width="0" style="1" hidden="1" customWidth="1"/>
    <col min="1282" max="1282" width="37.85546875" style="1" bestFit="1" customWidth="1"/>
    <col min="1283" max="1285" width="0" style="1" hidden="1" customWidth="1"/>
    <col min="1286" max="1288" width="17.7109375" style="1" customWidth="1"/>
    <col min="1289" max="1289" width="10.140625" style="1" customWidth="1"/>
    <col min="1290" max="1290" width="20.28515625" style="1" customWidth="1"/>
    <col min="1291" max="1291" width="18" style="1" bestFit="1" customWidth="1"/>
    <col min="1292" max="1294" width="14.85546875" style="1" customWidth="1"/>
    <col min="1295" max="1297" width="14.85546875" style="1" bestFit="1" customWidth="1"/>
    <col min="1298" max="1536" width="11.42578125" style="1"/>
    <col min="1537" max="1537" width="0" style="1" hidden="1" customWidth="1"/>
    <col min="1538" max="1538" width="37.85546875" style="1" bestFit="1" customWidth="1"/>
    <col min="1539" max="1541" width="0" style="1" hidden="1" customWidth="1"/>
    <col min="1542" max="1544" width="17.7109375" style="1" customWidth="1"/>
    <col min="1545" max="1545" width="10.140625" style="1" customWidth="1"/>
    <col min="1546" max="1546" width="20.28515625" style="1" customWidth="1"/>
    <col min="1547" max="1547" width="18" style="1" bestFit="1" customWidth="1"/>
    <col min="1548" max="1550" width="14.85546875" style="1" customWidth="1"/>
    <col min="1551" max="1553" width="14.85546875" style="1" bestFit="1" customWidth="1"/>
    <col min="1554" max="1792" width="11.42578125" style="1"/>
    <col min="1793" max="1793" width="0" style="1" hidden="1" customWidth="1"/>
    <col min="1794" max="1794" width="37.85546875" style="1" bestFit="1" customWidth="1"/>
    <col min="1795" max="1797" width="0" style="1" hidden="1" customWidth="1"/>
    <col min="1798" max="1800" width="17.7109375" style="1" customWidth="1"/>
    <col min="1801" max="1801" width="10.140625" style="1" customWidth="1"/>
    <col min="1802" max="1802" width="20.28515625" style="1" customWidth="1"/>
    <col min="1803" max="1803" width="18" style="1" bestFit="1" customWidth="1"/>
    <col min="1804" max="1806" width="14.85546875" style="1" customWidth="1"/>
    <col min="1807" max="1809" width="14.85546875" style="1" bestFit="1" customWidth="1"/>
    <col min="1810" max="2048" width="11.42578125" style="1"/>
    <col min="2049" max="2049" width="0" style="1" hidden="1" customWidth="1"/>
    <col min="2050" max="2050" width="37.85546875" style="1" bestFit="1" customWidth="1"/>
    <col min="2051" max="2053" width="0" style="1" hidden="1" customWidth="1"/>
    <col min="2054" max="2056" width="17.7109375" style="1" customWidth="1"/>
    <col min="2057" max="2057" width="10.140625" style="1" customWidth="1"/>
    <col min="2058" max="2058" width="20.28515625" style="1" customWidth="1"/>
    <col min="2059" max="2059" width="18" style="1" bestFit="1" customWidth="1"/>
    <col min="2060" max="2062" width="14.85546875" style="1" customWidth="1"/>
    <col min="2063" max="2065" width="14.85546875" style="1" bestFit="1" customWidth="1"/>
    <col min="2066" max="2304" width="11.42578125" style="1"/>
    <col min="2305" max="2305" width="0" style="1" hidden="1" customWidth="1"/>
    <col min="2306" max="2306" width="37.85546875" style="1" bestFit="1" customWidth="1"/>
    <col min="2307" max="2309" width="0" style="1" hidden="1" customWidth="1"/>
    <col min="2310" max="2312" width="17.7109375" style="1" customWidth="1"/>
    <col min="2313" max="2313" width="10.140625" style="1" customWidth="1"/>
    <col min="2314" max="2314" width="20.28515625" style="1" customWidth="1"/>
    <col min="2315" max="2315" width="18" style="1" bestFit="1" customWidth="1"/>
    <col min="2316" max="2318" width="14.85546875" style="1" customWidth="1"/>
    <col min="2319" max="2321" width="14.85546875" style="1" bestFit="1" customWidth="1"/>
    <col min="2322" max="2560" width="11.42578125" style="1"/>
    <col min="2561" max="2561" width="0" style="1" hidden="1" customWidth="1"/>
    <col min="2562" max="2562" width="37.85546875" style="1" bestFit="1" customWidth="1"/>
    <col min="2563" max="2565" width="0" style="1" hidden="1" customWidth="1"/>
    <col min="2566" max="2568" width="17.7109375" style="1" customWidth="1"/>
    <col min="2569" max="2569" width="10.140625" style="1" customWidth="1"/>
    <col min="2570" max="2570" width="20.28515625" style="1" customWidth="1"/>
    <col min="2571" max="2571" width="18" style="1" bestFit="1" customWidth="1"/>
    <col min="2572" max="2574" width="14.85546875" style="1" customWidth="1"/>
    <col min="2575" max="2577" width="14.85546875" style="1" bestFit="1" customWidth="1"/>
    <col min="2578" max="2816" width="11.42578125" style="1"/>
    <col min="2817" max="2817" width="0" style="1" hidden="1" customWidth="1"/>
    <col min="2818" max="2818" width="37.85546875" style="1" bestFit="1" customWidth="1"/>
    <col min="2819" max="2821" width="0" style="1" hidden="1" customWidth="1"/>
    <col min="2822" max="2824" width="17.7109375" style="1" customWidth="1"/>
    <col min="2825" max="2825" width="10.140625" style="1" customWidth="1"/>
    <col min="2826" max="2826" width="20.28515625" style="1" customWidth="1"/>
    <col min="2827" max="2827" width="18" style="1" bestFit="1" customWidth="1"/>
    <col min="2828" max="2830" width="14.85546875" style="1" customWidth="1"/>
    <col min="2831" max="2833" width="14.85546875" style="1" bestFit="1" customWidth="1"/>
    <col min="2834" max="3072" width="11.42578125" style="1"/>
    <col min="3073" max="3073" width="0" style="1" hidden="1" customWidth="1"/>
    <col min="3074" max="3074" width="37.85546875" style="1" bestFit="1" customWidth="1"/>
    <col min="3075" max="3077" width="0" style="1" hidden="1" customWidth="1"/>
    <col min="3078" max="3080" width="17.7109375" style="1" customWidth="1"/>
    <col min="3081" max="3081" width="10.140625" style="1" customWidth="1"/>
    <col min="3082" max="3082" width="20.28515625" style="1" customWidth="1"/>
    <col min="3083" max="3083" width="18" style="1" bestFit="1" customWidth="1"/>
    <col min="3084" max="3086" width="14.85546875" style="1" customWidth="1"/>
    <col min="3087" max="3089" width="14.85546875" style="1" bestFit="1" customWidth="1"/>
    <col min="3090" max="3328" width="11.42578125" style="1"/>
    <col min="3329" max="3329" width="0" style="1" hidden="1" customWidth="1"/>
    <col min="3330" max="3330" width="37.85546875" style="1" bestFit="1" customWidth="1"/>
    <col min="3331" max="3333" width="0" style="1" hidden="1" customWidth="1"/>
    <col min="3334" max="3336" width="17.7109375" style="1" customWidth="1"/>
    <col min="3337" max="3337" width="10.140625" style="1" customWidth="1"/>
    <col min="3338" max="3338" width="20.28515625" style="1" customWidth="1"/>
    <col min="3339" max="3339" width="18" style="1" bestFit="1" customWidth="1"/>
    <col min="3340" max="3342" width="14.85546875" style="1" customWidth="1"/>
    <col min="3343" max="3345" width="14.85546875" style="1" bestFit="1" customWidth="1"/>
    <col min="3346" max="3584" width="11.42578125" style="1"/>
    <col min="3585" max="3585" width="0" style="1" hidden="1" customWidth="1"/>
    <col min="3586" max="3586" width="37.85546875" style="1" bestFit="1" customWidth="1"/>
    <col min="3587" max="3589" width="0" style="1" hidden="1" customWidth="1"/>
    <col min="3590" max="3592" width="17.7109375" style="1" customWidth="1"/>
    <col min="3593" max="3593" width="10.140625" style="1" customWidth="1"/>
    <col min="3594" max="3594" width="20.28515625" style="1" customWidth="1"/>
    <col min="3595" max="3595" width="18" style="1" bestFit="1" customWidth="1"/>
    <col min="3596" max="3598" width="14.85546875" style="1" customWidth="1"/>
    <col min="3599" max="3601" width="14.85546875" style="1" bestFit="1" customWidth="1"/>
    <col min="3602" max="3840" width="11.42578125" style="1"/>
    <col min="3841" max="3841" width="0" style="1" hidden="1" customWidth="1"/>
    <col min="3842" max="3842" width="37.85546875" style="1" bestFit="1" customWidth="1"/>
    <col min="3843" max="3845" width="0" style="1" hidden="1" customWidth="1"/>
    <col min="3846" max="3848" width="17.7109375" style="1" customWidth="1"/>
    <col min="3849" max="3849" width="10.140625" style="1" customWidth="1"/>
    <col min="3850" max="3850" width="20.28515625" style="1" customWidth="1"/>
    <col min="3851" max="3851" width="18" style="1" bestFit="1" customWidth="1"/>
    <col min="3852" max="3854" width="14.85546875" style="1" customWidth="1"/>
    <col min="3855" max="3857" width="14.85546875" style="1" bestFit="1" customWidth="1"/>
    <col min="3858" max="4096" width="11.42578125" style="1"/>
    <col min="4097" max="4097" width="0" style="1" hidden="1" customWidth="1"/>
    <col min="4098" max="4098" width="37.85546875" style="1" bestFit="1" customWidth="1"/>
    <col min="4099" max="4101" width="0" style="1" hidden="1" customWidth="1"/>
    <col min="4102" max="4104" width="17.7109375" style="1" customWidth="1"/>
    <col min="4105" max="4105" width="10.140625" style="1" customWidth="1"/>
    <col min="4106" max="4106" width="20.28515625" style="1" customWidth="1"/>
    <col min="4107" max="4107" width="18" style="1" bestFit="1" customWidth="1"/>
    <col min="4108" max="4110" width="14.85546875" style="1" customWidth="1"/>
    <col min="4111" max="4113" width="14.85546875" style="1" bestFit="1" customWidth="1"/>
    <col min="4114" max="4352" width="11.42578125" style="1"/>
    <col min="4353" max="4353" width="0" style="1" hidden="1" customWidth="1"/>
    <col min="4354" max="4354" width="37.85546875" style="1" bestFit="1" customWidth="1"/>
    <col min="4355" max="4357" width="0" style="1" hidden="1" customWidth="1"/>
    <col min="4358" max="4360" width="17.7109375" style="1" customWidth="1"/>
    <col min="4361" max="4361" width="10.140625" style="1" customWidth="1"/>
    <col min="4362" max="4362" width="20.28515625" style="1" customWidth="1"/>
    <col min="4363" max="4363" width="18" style="1" bestFit="1" customWidth="1"/>
    <col min="4364" max="4366" width="14.85546875" style="1" customWidth="1"/>
    <col min="4367" max="4369" width="14.85546875" style="1" bestFit="1" customWidth="1"/>
    <col min="4370" max="4608" width="11.42578125" style="1"/>
    <col min="4609" max="4609" width="0" style="1" hidden="1" customWidth="1"/>
    <col min="4610" max="4610" width="37.85546875" style="1" bestFit="1" customWidth="1"/>
    <col min="4611" max="4613" width="0" style="1" hidden="1" customWidth="1"/>
    <col min="4614" max="4616" width="17.7109375" style="1" customWidth="1"/>
    <col min="4617" max="4617" width="10.140625" style="1" customWidth="1"/>
    <col min="4618" max="4618" width="20.28515625" style="1" customWidth="1"/>
    <col min="4619" max="4619" width="18" style="1" bestFit="1" customWidth="1"/>
    <col min="4620" max="4622" width="14.85546875" style="1" customWidth="1"/>
    <col min="4623" max="4625" width="14.85546875" style="1" bestFit="1" customWidth="1"/>
    <col min="4626" max="4864" width="11.42578125" style="1"/>
    <col min="4865" max="4865" width="0" style="1" hidden="1" customWidth="1"/>
    <col min="4866" max="4866" width="37.85546875" style="1" bestFit="1" customWidth="1"/>
    <col min="4867" max="4869" width="0" style="1" hidden="1" customWidth="1"/>
    <col min="4870" max="4872" width="17.7109375" style="1" customWidth="1"/>
    <col min="4873" max="4873" width="10.140625" style="1" customWidth="1"/>
    <col min="4874" max="4874" width="20.28515625" style="1" customWidth="1"/>
    <col min="4875" max="4875" width="18" style="1" bestFit="1" customWidth="1"/>
    <col min="4876" max="4878" width="14.85546875" style="1" customWidth="1"/>
    <col min="4879" max="4881" width="14.85546875" style="1" bestFit="1" customWidth="1"/>
    <col min="4882" max="5120" width="11.42578125" style="1"/>
    <col min="5121" max="5121" width="0" style="1" hidden="1" customWidth="1"/>
    <col min="5122" max="5122" width="37.85546875" style="1" bestFit="1" customWidth="1"/>
    <col min="5123" max="5125" width="0" style="1" hidden="1" customWidth="1"/>
    <col min="5126" max="5128" width="17.7109375" style="1" customWidth="1"/>
    <col min="5129" max="5129" width="10.140625" style="1" customWidth="1"/>
    <col min="5130" max="5130" width="20.28515625" style="1" customWidth="1"/>
    <col min="5131" max="5131" width="18" style="1" bestFit="1" customWidth="1"/>
    <col min="5132" max="5134" width="14.85546875" style="1" customWidth="1"/>
    <col min="5135" max="5137" width="14.85546875" style="1" bestFit="1" customWidth="1"/>
    <col min="5138" max="5376" width="11.42578125" style="1"/>
    <col min="5377" max="5377" width="0" style="1" hidden="1" customWidth="1"/>
    <col min="5378" max="5378" width="37.85546875" style="1" bestFit="1" customWidth="1"/>
    <col min="5379" max="5381" width="0" style="1" hidden="1" customWidth="1"/>
    <col min="5382" max="5384" width="17.7109375" style="1" customWidth="1"/>
    <col min="5385" max="5385" width="10.140625" style="1" customWidth="1"/>
    <col min="5386" max="5386" width="20.28515625" style="1" customWidth="1"/>
    <col min="5387" max="5387" width="18" style="1" bestFit="1" customWidth="1"/>
    <col min="5388" max="5390" width="14.85546875" style="1" customWidth="1"/>
    <col min="5391" max="5393" width="14.85546875" style="1" bestFit="1" customWidth="1"/>
    <col min="5394" max="5632" width="11.42578125" style="1"/>
    <col min="5633" max="5633" width="0" style="1" hidden="1" customWidth="1"/>
    <col min="5634" max="5634" width="37.85546875" style="1" bestFit="1" customWidth="1"/>
    <col min="5635" max="5637" width="0" style="1" hidden="1" customWidth="1"/>
    <col min="5638" max="5640" width="17.7109375" style="1" customWidth="1"/>
    <col min="5641" max="5641" width="10.140625" style="1" customWidth="1"/>
    <col min="5642" max="5642" width="20.28515625" style="1" customWidth="1"/>
    <col min="5643" max="5643" width="18" style="1" bestFit="1" customWidth="1"/>
    <col min="5644" max="5646" width="14.85546875" style="1" customWidth="1"/>
    <col min="5647" max="5649" width="14.85546875" style="1" bestFit="1" customWidth="1"/>
    <col min="5650" max="5888" width="11.42578125" style="1"/>
    <col min="5889" max="5889" width="0" style="1" hidden="1" customWidth="1"/>
    <col min="5890" max="5890" width="37.85546875" style="1" bestFit="1" customWidth="1"/>
    <col min="5891" max="5893" width="0" style="1" hidden="1" customWidth="1"/>
    <col min="5894" max="5896" width="17.7109375" style="1" customWidth="1"/>
    <col min="5897" max="5897" width="10.140625" style="1" customWidth="1"/>
    <col min="5898" max="5898" width="20.28515625" style="1" customWidth="1"/>
    <col min="5899" max="5899" width="18" style="1" bestFit="1" customWidth="1"/>
    <col min="5900" max="5902" width="14.85546875" style="1" customWidth="1"/>
    <col min="5903" max="5905" width="14.85546875" style="1" bestFit="1" customWidth="1"/>
    <col min="5906" max="6144" width="11.42578125" style="1"/>
    <col min="6145" max="6145" width="0" style="1" hidden="1" customWidth="1"/>
    <col min="6146" max="6146" width="37.85546875" style="1" bestFit="1" customWidth="1"/>
    <col min="6147" max="6149" width="0" style="1" hidden="1" customWidth="1"/>
    <col min="6150" max="6152" width="17.7109375" style="1" customWidth="1"/>
    <col min="6153" max="6153" width="10.140625" style="1" customWidth="1"/>
    <col min="6154" max="6154" width="20.28515625" style="1" customWidth="1"/>
    <col min="6155" max="6155" width="18" style="1" bestFit="1" customWidth="1"/>
    <col min="6156" max="6158" width="14.85546875" style="1" customWidth="1"/>
    <col min="6159" max="6161" width="14.85546875" style="1" bestFit="1" customWidth="1"/>
    <col min="6162" max="6400" width="11.42578125" style="1"/>
    <col min="6401" max="6401" width="0" style="1" hidden="1" customWidth="1"/>
    <col min="6402" max="6402" width="37.85546875" style="1" bestFit="1" customWidth="1"/>
    <col min="6403" max="6405" width="0" style="1" hidden="1" customWidth="1"/>
    <col min="6406" max="6408" width="17.7109375" style="1" customWidth="1"/>
    <col min="6409" max="6409" width="10.140625" style="1" customWidth="1"/>
    <col min="6410" max="6410" width="20.28515625" style="1" customWidth="1"/>
    <col min="6411" max="6411" width="18" style="1" bestFit="1" customWidth="1"/>
    <col min="6412" max="6414" width="14.85546875" style="1" customWidth="1"/>
    <col min="6415" max="6417" width="14.85546875" style="1" bestFit="1" customWidth="1"/>
    <col min="6418" max="6656" width="11.42578125" style="1"/>
    <col min="6657" max="6657" width="0" style="1" hidden="1" customWidth="1"/>
    <col min="6658" max="6658" width="37.85546875" style="1" bestFit="1" customWidth="1"/>
    <col min="6659" max="6661" width="0" style="1" hidden="1" customWidth="1"/>
    <col min="6662" max="6664" width="17.7109375" style="1" customWidth="1"/>
    <col min="6665" max="6665" width="10.140625" style="1" customWidth="1"/>
    <col min="6666" max="6666" width="20.28515625" style="1" customWidth="1"/>
    <col min="6667" max="6667" width="18" style="1" bestFit="1" customWidth="1"/>
    <col min="6668" max="6670" width="14.85546875" style="1" customWidth="1"/>
    <col min="6671" max="6673" width="14.85546875" style="1" bestFit="1" customWidth="1"/>
    <col min="6674" max="6912" width="11.42578125" style="1"/>
    <col min="6913" max="6913" width="0" style="1" hidden="1" customWidth="1"/>
    <col min="6914" max="6914" width="37.85546875" style="1" bestFit="1" customWidth="1"/>
    <col min="6915" max="6917" width="0" style="1" hidden="1" customWidth="1"/>
    <col min="6918" max="6920" width="17.7109375" style="1" customWidth="1"/>
    <col min="6921" max="6921" width="10.140625" style="1" customWidth="1"/>
    <col min="6922" max="6922" width="20.28515625" style="1" customWidth="1"/>
    <col min="6923" max="6923" width="18" style="1" bestFit="1" customWidth="1"/>
    <col min="6924" max="6926" width="14.85546875" style="1" customWidth="1"/>
    <col min="6927" max="6929" width="14.85546875" style="1" bestFit="1" customWidth="1"/>
    <col min="6930" max="7168" width="11.42578125" style="1"/>
    <col min="7169" max="7169" width="0" style="1" hidden="1" customWidth="1"/>
    <col min="7170" max="7170" width="37.85546875" style="1" bestFit="1" customWidth="1"/>
    <col min="7171" max="7173" width="0" style="1" hidden="1" customWidth="1"/>
    <col min="7174" max="7176" width="17.7109375" style="1" customWidth="1"/>
    <col min="7177" max="7177" width="10.140625" style="1" customWidth="1"/>
    <col min="7178" max="7178" width="20.28515625" style="1" customWidth="1"/>
    <col min="7179" max="7179" width="18" style="1" bestFit="1" customWidth="1"/>
    <col min="7180" max="7182" width="14.85546875" style="1" customWidth="1"/>
    <col min="7183" max="7185" width="14.85546875" style="1" bestFit="1" customWidth="1"/>
    <col min="7186" max="7424" width="11.42578125" style="1"/>
    <col min="7425" max="7425" width="0" style="1" hidden="1" customWidth="1"/>
    <col min="7426" max="7426" width="37.85546875" style="1" bestFit="1" customWidth="1"/>
    <col min="7427" max="7429" width="0" style="1" hidden="1" customWidth="1"/>
    <col min="7430" max="7432" width="17.7109375" style="1" customWidth="1"/>
    <col min="7433" max="7433" width="10.140625" style="1" customWidth="1"/>
    <col min="7434" max="7434" width="20.28515625" style="1" customWidth="1"/>
    <col min="7435" max="7435" width="18" style="1" bestFit="1" customWidth="1"/>
    <col min="7436" max="7438" width="14.85546875" style="1" customWidth="1"/>
    <col min="7439" max="7441" width="14.85546875" style="1" bestFit="1" customWidth="1"/>
    <col min="7442" max="7680" width="11.42578125" style="1"/>
    <col min="7681" max="7681" width="0" style="1" hidden="1" customWidth="1"/>
    <col min="7682" max="7682" width="37.85546875" style="1" bestFit="1" customWidth="1"/>
    <col min="7683" max="7685" width="0" style="1" hidden="1" customWidth="1"/>
    <col min="7686" max="7688" width="17.7109375" style="1" customWidth="1"/>
    <col min="7689" max="7689" width="10.140625" style="1" customWidth="1"/>
    <col min="7690" max="7690" width="20.28515625" style="1" customWidth="1"/>
    <col min="7691" max="7691" width="18" style="1" bestFit="1" customWidth="1"/>
    <col min="7692" max="7694" width="14.85546875" style="1" customWidth="1"/>
    <col min="7695" max="7697" width="14.85546875" style="1" bestFit="1" customWidth="1"/>
    <col min="7698" max="7936" width="11.42578125" style="1"/>
    <col min="7937" max="7937" width="0" style="1" hidden="1" customWidth="1"/>
    <col min="7938" max="7938" width="37.85546875" style="1" bestFit="1" customWidth="1"/>
    <col min="7939" max="7941" width="0" style="1" hidden="1" customWidth="1"/>
    <col min="7942" max="7944" width="17.7109375" style="1" customWidth="1"/>
    <col min="7945" max="7945" width="10.140625" style="1" customWidth="1"/>
    <col min="7946" max="7946" width="20.28515625" style="1" customWidth="1"/>
    <col min="7947" max="7947" width="18" style="1" bestFit="1" customWidth="1"/>
    <col min="7948" max="7950" width="14.85546875" style="1" customWidth="1"/>
    <col min="7951" max="7953" width="14.85546875" style="1" bestFit="1" customWidth="1"/>
    <col min="7954" max="8192" width="11.42578125" style="1"/>
    <col min="8193" max="8193" width="0" style="1" hidden="1" customWidth="1"/>
    <col min="8194" max="8194" width="37.85546875" style="1" bestFit="1" customWidth="1"/>
    <col min="8195" max="8197" width="0" style="1" hidden="1" customWidth="1"/>
    <col min="8198" max="8200" width="17.7109375" style="1" customWidth="1"/>
    <col min="8201" max="8201" width="10.140625" style="1" customWidth="1"/>
    <col min="8202" max="8202" width="20.28515625" style="1" customWidth="1"/>
    <col min="8203" max="8203" width="18" style="1" bestFit="1" customWidth="1"/>
    <col min="8204" max="8206" width="14.85546875" style="1" customWidth="1"/>
    <col min="8207" max="8209" width="14.85546875" style="1" bestFit="1" customWidth="1"/>
    <col min="8210" max="8448" width="11.42578125" style="1"/>
    <col min="8449" max="8449" width="0" style="1" hidden="1" customWidth="1"/>
    <col min="8450" max="8450" width="37.85546875" style="1" bestFit="1" customWidth="1"/>
    <col min="8451" max="8453" width="0" style="1" hidden="1" customWidth="1"/>
    <col min="8454" max="8456" width="17.7109375" style="1" customWidth="1"/>
    <col min="8457" max="8457" width="10.140625" style="1" customWidth="1"/>
    <col min="8458" max="8458" width="20.28515625" style="1" customWidth="1"/>
    <col min="8459" max="8459" width="18" style="1" bestFit="1" customWidth="1"/>
    <col min="8460" max="8462" width="14.85546875" style="1" customWidth="1"/>
    <col min="8463" max="8465" width="14.85546875" style="1" bestFit="1" customWidth="1"/>
    <col min="8466" max="8704" width="11.42578125" style="1"/>
    <col min="8705" max="8705" width="0" style="1" hidden="1" customWidth="1"/>
    <col min="8706" max="8706" width="37.85546875" style="1" bestFit="1" customWidth="1"/>
    <col min="8707" max="8709" width="0" style="1" hidden="1" customWidth="1"/>
    <col min="8710" max="8712" width="17.7109375" style="1" customWidth="1"/>
    <col min="8713" max="8713" width="10.140625" style="1" customWidth="1"/>
    <col min="8714" max="8714" width="20.28515625" style="1" customWidth="1"/>
    <col min="8715" max="8715" width="18" style="1" bestFit="1" customWidth="1"/>
    <col min="8716" max="8718" width="14.85546875" style="1" customWidth="1"/>
    <col min="8719" max="8721" width="14.85546875" style="1" bestFit="1" customWidth="1"/>
    <col min="8722" max="8960" width="11.42578125" style="1"/>
    <col min="8961" max="8961" width="0" style="1" hidden="1" customWidth="1"/>
    <col min="8962" max="8962" width="37.85546875" style="1" bestFit="1" customWidth="1"/>
    <col min="8963" max="8965" width="0" style="1" hidden="1" customWidth="1"/>
    <col min="8966" max="8968" width="17.7109375" style="1" customWidth="1"/>
    <col min="8969" max="8969" width="10.140625" style="1" customWidth="1"/>
    <col min="8970" max="8970" width="20.28515625" style="1" customWidth="1"/>
    <col min="8971" max="8971" width="18" style="1" bestFit="1" customWidth="1"/>
    <col min="8972" max="8974" width="14.85546875" style="1" customWidth="1"/>
    <col min="8975" max="8977" width="14.85546875" style="1" bestFit="1" customWidth="1"/>
    <col min="8978" max="9216" width="11.42578125" style="1"/>
    <col min="9217" max="9217" width="0" style="1" hidden="1" customWidth="1"/>
    <col min="9218" max="9218" width="37.85546875" style="1" bestFit="1" customWidth="1"/>
    <col min="9219" max="9221" width="0" style="1" hidden="1" customWidth="1"/>
    <col min="9222" max="9224" width="17.7109375" style="1" customWidth="1"/>
    <col min="9225" max="9225" width="10.140625" style="1" customWidth="1"/>
    <col min="9226" max="9226" width="20.28515625" style="1" customWidth="1"/>
    <col min="9227" max="9227" width="18" style="1" bestFit="1" customWidth="1"/>
    <col min="9228" max="9230" width="14.85546875" style="1" customWidth="1"/>
    <col min="9231" max="9233" width="14.85546875" style="1" bestFit="1" customWidth="1"/>
    <col min="9234" max="9472" width="11.42578125" style="1"/>
    <col min="9473" max="9473" width="0" style="1" hidden="1" customWidth="1"/>
    <col min="9474" max="9474" width="37.85546875" style="1" bestFit="1" customWidth="1"/>
    <col min="9475" max="9477" width="0" style="1" hidden="1" customWidth="1"/>
    <col min="9478" max="9480" width="17.7109375" style="1" customWidth="1"/>
    <col min="9481" max="9481" width="10.140625" style="1" customWidth="1"/>
    <col min="9482" max="9482" width="20.28515625" style="1" customWidth="1"/>
    <col min="9483" max="9483" width="18" style="1" bestFit="1" customWidth="1"/>
    <col min="9484" max="9486" width="14.85546875" style="1" customWidth="1"/>
    <col min="9487" max="9489" width="14.85546875" style="1" bestFit="1" customWidth="1"/>
    <col min="9490" max="9728" width="11.42578125" style="1"/>
    <col min="9729" max="9729" width="0" style="1" hidden="1" customWidth="1"/>
    <col min="9730" max="9730" width="37.85546875" style="1" bestFit="1" customWidth="1"/>
    <col min="9731" max="9733" width="0" style="1" hidden="1" customWidth="1"/>
    <col min="9734" max="9736" width="17.7109375" style="1" customWidth="1"/>
    <col min="9737" max="9737" width="10.140625" style="1" customWidth="1"/>
    <col min="9738" max="9738" width="20.28515625" style="1" customWidth="1"/>
    <col min="9739" max="9739" width="18" style="1" bestFit="1" customWidth="1"/>
    <col min="9740" max="9742" width="14.85546875" style="1" customWidth="1"/>
    <col min="9743" max="9745" width="14.85546875" style="1" bestFit="1" customWidth="1"/>
    <col min="9746" max="9984" width="11.42578125" style="1"/>
    <col min="9985" max="9985" width="0" style="1" hidden="1" customWidth="1"/>
    <col min="9986" max="9986" width="37.85546875" style="1" bestFit="1" customWidth="1"/>
    <col min="9987" max="9989" width="0" style="1" hidden="1" customWidth="1"/>
    <col min="9990" max="9992" width="17.7109375" style="1" customWidth="1"/>
    <col min="9993" max="9993" width="10.140625" style="1" customWidth="1"/>
    <col min="9994" max="9994" width="20.28515625" style="1" customWidth="1"/>
    <col min="9995" max="9995" width="18" style="1" bestFit="1" customWidth="1"/>
    <col min="9996" max="9998" width="14.85546875" style="1" customWidth="1"/>
    <col min="9999" max="10001" width="14.85546875" style="1" bestFit="1" customWidth="1"/>
    <col min="10002" max="10240" width="11.42578125" style="1"/>
    <col min="10241" max="10241" width="0" style="1" hidden="1" customWidth="1"/>
    <col min="10242" max="10242" width="37.85546875" style="1" bestFit="1" customWidth="1"/>
    <col min="10243" max="10245" width="0" style="1" hidden="1" customWidth="1"/>
    <col min="10246" max="10248" width="17.7109375" style="1" customWidth="1"/>
    <col min="10249" max="10249" width="10.140625" style="1" customWidth="1"/>
    <col min="10250" max="10250" width="20.28515625" style="1" customWidth="1"/>
    <col min="10251" max="10251" width="18" style="1" bestFit="1" customWidth="1"/>
    <col min="10252" max="10254" width="14.85546875" style="1" customWidth="1"/>
    <col min="10255" max="10257" width="14.85546875" style="1" bestFit="1" customWidth="1"/>
    <col min="10258" max="10496" width="11.42578125" style="1"/>
    <col min="10497" max="10497" width="0" style="1" hidden="1" customWidth="1"/>
    <col min="10498" max="10498" width="37.85546875" style="1" bestFit="1" customWidth="1"/>
    <col min="10499" max="10501" width="0" style="1" hidden="1" customWidth="1"/>
    <col min="10502" max="10504" width="17.7109375" style="1" customWidth="1"/>
    <col min="10505" max="10505" width="10.140625" style="1" customWidth="1"/>
    <col min="10506" max="10506" width="20.28515625" style="1" customWidth="1"/>
    <col min="10507" max="10507" width="18" style="1" bestFit="1" customWidth="1"/>
    <col min="10508" max="10510" width="14.85546875" style="1" customWidth="1"/>
    <col min="10511" max="10513" width="14.85546875" style="1" bestFit="1" customWidth="1"/>
    <col min="10514" max="10752" width="11.42578125" style="1"/>
    <col min="10753" max="10753" width="0" style="1" hidden="1" customWidth="1"/>
    <col min="10754" max="10754" width="37.85546875" style="1" bestFit="1" customWidth="1"/>
    <col min="10755" max="10757" width="0" style="1" hidden="1" customWidth="1"/>
    <col min="10758" max="10760" width="17.7109375" style="1" customWidth="1"/>
    <col min="10761" max="10761" width="10.140625" style="1" customWidth="1"/>
    <col min="10762" max="10762" width="20.28515625" style="1" customWidth="1"/>
    <col min="10763" max="10763" width="18" style="1" bestFit="1" customWidth="1"/>
    <col min="10764" max="10766" width="14.85546875" style="1" customWidth="1"/>
    <col min="10767" max="10769" width="14.85546875" style="1" bestFit="1" customWidth="1"/>
    <col min="10770" max="11008" width="11.42578125" style="1"/>
    <col min="11009" max="11009" width="0" style="1" hidden="1" customWidth="1"/>
    <col min="11010" max="11010" width="37.85546875" style="1" bestFit="1" customWidth="1"/>
    <col min="11011" max="11013" width="0" style="1" hidden="1" customWidth="1"/>
    <col min="11014" max="11016" width="17.7109375" style="1" customWidth="1"/>
    <col min="11017" max="11017" width="10.140625" style="1" customWidth="1"/>
    <col min="11018" max="11018" width="20.28515625" style="1" customWidth="1"/>
    <col min="11019" max="11019" width="18" style="1" bestFit="1" customWidth="1"/>
    <col min="11020" max="11022" width="14.85546875" style="1" customWidth="1"/>
    <col min="11023" max="11025" width="14.85546875" style="1" bestFit="1" customWidth="1"/>
    <col min="11026" max="11264" width="11.42578125" style="1"/>
    <col min="11265" max="11265" width="0" style="1" hidden="1" customWidth="1"/>
    <col min="11266" max="11266" width="37.85546875" style="1" bestFit="1" customWidth="1"/>
    <col min="11267" max="11269" width="0" style="1" hidden="1" customWidth="1"/>
    <col min="11270" max="11272" width="17.7109375" style="1" customWidth="1"/>
    <col min="11273" max="11273" width="10.140625" style="1" customWidth="1"/>
    <col min="11274" max="11274" width="20.28515625" style="1" customWidth="1"/>
    <col min="11275" max="11275" width="18" style="1" bestFit="1" customWidth="1"/>
    <col min="11276" max="11278" width="14.85546875" style="1" customWidth="1"/>
    <col min="11279" max="11281" width="14.85546875" style="1" bestFit="1" customWidth="1"/>
    <col min="11282" max="11520" width="11.42578125" style="1"/>
    <col min="11521" max="11521" width="0" style="1" hidden="1" customWidth="1"/>
    <col min="11522" max="11522" width="37.85546875" style="1" bestFit="1" customWidth="1"/>
    <col min="11523" max="11525" width="0" style="1" hidden="1" customWidth="1"/>
    <col min="11526" max="11528" width="17.7109375" style="1" customWidth="1"/>
    <col min="11529" max="11529" width="10.140625" style="1" customWidth="1"/>
    <col min="11530" max="11530" width="20.28515625" style="1" customWidth="1"/>
    <col min="11531" max="11531" width="18" style="1" bestFit="1" customWidth="1"/>
    <col min="11532" max="11534" width="14.85546875" style="1" customWidth="1"/>
    <col min="11535" max="11537" width="14.85546875" style="1" bestFit="1" customWidth="1"/>
    <col min="11538" max="11776" width="11.42578125" style="1"/>
    <col min="11777" max="11777" width="0" style="1" hidden="1" customWidth="1"/>
    <col min="11778" max="11778" width="37.85546875" style="1" bestFit="1" customWidth="1"/>
    <col min="11779" max="11781" width="0" style="1" hidden="1" customWidth="1"/>
    <col min="11782" max="11784" width="17.7109375" style="1" customWidth="1"/>
    <col min="11785" max="11785" width="10.140625" style="1" customWidth="1"/>
    <col min="11786" max="11786" width="20.28515625" style="1" customWidth="1"/>
    <col min="11787" max="11787" width="18" style="1" bestFit="1" customWidth="1"/>
    <col min="11788" max="11790" width="14.85546875" style="1" customWidth="1"/>
    <col min="11791" max="11793" width="14.85546875" style="1" bestFit="1" customWidth="1"/>
    <col min="11794" max="12032" width="11.42578125" style="1"/>
    <col min="12033" max="12033" width="0" style="1" hidden="1" customWidth="1"/>
    <col min="12034" max="12034" width="37.85546875" style="1" bestFit="1" customWidth="1"/>
    <col min="12035" max="12037" width="0" style="1" hidden="1" customWidth="1"/>
    <col min="12038" max="12040" width="17.7109375" style="1" customWidth="1"/>
    <col min="12041" max="12041" width="10.140625" style="1" customWidth="1"/>
    <col min="12042" max="12042" width="20.28515625" style="1" customWidth="1"/>
    <col min="12043" max="12043" width="18" style="1" bestFit="1" customWidth="1"/>
    <col min="12044" max="12046" width="14.85546875" style="1" customWidth="1"/>
    <col min="12047" max="12049" width="14.85546875" style="1" bestFit="1" customWidth="1"/>
    <col min="12050" max="12288" width="11.42578125" style="1"/>
    <col min="12289" max="12289" width="0" style="1" hidden="1" customWidth="1"/>
    <col min="12290" max="12290" width="37.85546875" style="1" bestFit="1" customWidth="1"/>
    <col min="12291" max="12293" width="0" style="1" hidden="1" customWidth="1"/>
    <col min="12294" max="12296" width="17.7109375" style="1" customWidth="1"/>
    <col min="12297" max="12297" width="10.140625" style="1" customWidth="1"/>
    <col min="12298" max="12298" width="20.28515625" style="1" customWidth="1"/>
    <col min="12299" max="12299" width="18" style="1" bestFit="1" customWidth="1"/>
    <col min="12300" max="12302" width="14.85546875" style="1" customWidth="1"/>
    <col min="12303" max="12305" width="14.85546875" style="1" bestFit="1" customWidth="1"/>
    <col min="12306" max="12544" width="11.42578125" style="1"/>
    <col min="12545" max="12545" width="0" style="1" hidden="1" customWidth="1"/>
    <col min="12546" max="12546" width="37.85546875" style="1" bestFit="1" customWidth="1"/>
    <col min="12547" max="12549" width="0" style="1" hidden="1" customWidth="1"/>
    <col min="12550" max="12552" width="17.7109375" style="1" customWidth="1"/>
    <col min="12553" max="12553" width="10.140625" style="1" customWidth="1"/>
    <col min="12554" max="12554" width="20.28515625" style="1" customWidth="1"/>
    <col min="12555" max="12555" width="18" style="1" bestFit="1" customWidth="1"/>
    <col min="12556" max="12558" width="14.85546875" style="1" customWidth="1"/>
    <col min="12559" max="12561" width="14.85546875" style="1" bestFit="1" customWidth="1"/>
    <col min="12562" max="12800" width="11.42578125" style="1"/>
    <col min="12801" max="12801" width="0" style="1" hidden="1" customWidth="1"/>
    <col min="12802" max="12802" width="37.85546875" style="1" bestFit="1" customWidth="1"/>
    <col min="12803" max="12805" width="0" style="1" hidden="1" customWidth="1"/>
    <col min="12806" max="12808" width="17.7109375" style="1" customWidth="1"/>
    <col min="12809" max="12809" width="10.140625" style="1" customWidth="1"/>
    <col min="12810" max="12810" width="20.28515625" style="1" customWidth="1"/>
    <col min="12811" max="12811" width="18" style="1" bestFit="1" customWidth="1"/>
    <col min="12812" max="12814" width="14.85546875" style="1" customWidth="1"/>
    <col min="12815" max="12817" width="14.85546875" style="1" bestFit="1" customWidth="1"/>
    <col min="12818" max="13056" width="11.42578125" style="1"/>
    <col min="13057" max="13057" width="0" style="1" hidden="1" customWidth="1"/>
    <col min="13058" max="13058" width="37.85546875" style="1" bestFit="1" customWidth="1"/>
    <col min="13059" max="13061" width="0" style="1" hidden="1" customWidth="1"/>
    <col min="13062" max="13064" width="17.7109375" style="1" customWidth="1"/>
    <col min="13065" max="13065" width="10.140625" style="1" customWidth="1"/>
    <col min="13066" max="13066" width="20.28515625" style="1" customWidth="1"/>
    <col min="13067" max="13067" width="18" style="1" bestFit="1" customWidth="1"/>
    <col min="13068" max="13070" width="14.85546875" style="1" customWidth="1"/>
    <col min="13071" max="13073" width="14.85546875" style="1" bestFit="1" customWidth="1"/>
    <col min="13074" max="13312" width="11.42578125" style="1"/>
    <col min="13313" max="13313" width="0" style="1" hidden="1" customWidth="1"/>
    <col min="13314" max="13314" width="37.85546875" style="1" bestFit="1" customWidth="1"/>
    <col min="13315" max="13317" width="0" style="1" hidden="1" customWidth="1"/>
    <col min="13318" max="13320" width="17.7109375" style="1" customWidth="1"/>
    <col min="13321" max="13321" width="10.140625" style="1" customWidth="1"/>
    <col min="13322" max="13322" width="20.28515625" style="1" customWidth="1"/>
    <col min="13323" max="13323" width="18" style="1" bestFit="1" customWidth="1"/>
    <col min="13324" max="13326" width="14.85546875" style="1" customWidth="1"/>
    <col min="13327" max="13329" width="14.85546875" style="1" bestFit="1" customWidth="1"/>
    <col min="13330" max="13568" width="11.42578125" style="1"/>
    <col min="13569" max="13569" width="0" style="1" hidden="1" customWidth="1"/>
    <col min="13570" max="13570" width="37.85546875" style="1" bestFit="1" customWidth="1"/>
    <col min="13571" max="13573" width="0" style="1" hidden="1" customWidth="1"/>
    <col min="13574" max="13576" width="17.7109375" style="1" customWidth="1"/>
    <col min="13577" max="13577" width="10.140625" style="1" customWidth="1"/>
    <col min="13578" max="13578" width="20.28515625" style="1" customWidth="1"/>
    <col min="13579" max="13579" width="18" style="1" bestFit="1" customWidth="1"/>
    <col min="13580" max="13582" width="14.85546875" style="1" customWidth="1"/>
    <col min="13583" max="13585" width="14.85546875" style="1" bestFit="1" customWidth="1"/>
    <col min="13586" max="13824" width="11.42578125" style="1"/>
    <col min="13825" max="13825" width="0" style="1" hidden="1" customWidth="1"/>
    <col min="13826" max="13826" width="37.85546875" style="1" bestFit="1" customWidth="1"/>
    <col min="13827" max="13829" width="0" style="1" hidden="1" customWidth="1"/>
    <col min="13830" max="13832" width="17.7109375" style="1" customWidth="1"/>
    <col min="13833" max="13833" width="10.140625" style="1" customWidth="1"/>
    <col min="13834" max="13834" width="20.28515625" style="1" customWidth="1"/>
    <col min="13835" max="13835" width="18" style="1" bestFit="1" customWidth="1"/>
    <col min="13836" max="13838" width="14.85546875" style="1" customWidth="1"/>
    <col min="13839" max="13841" width="14.85546875" style="1" bestFit="1" customWidth="1"/>
    <col min="13842" max="14080" width="11.42578125" style="1"/>
    <col min="14081" max="14081" width="0" style="1" hidden="1" customWidth="1"/>
    <col min="14082" max="14082" width="37.85546875" style="1" bestFit="1" customWidth="1"/>
    <col min="14083" max="14085" width="0" style="1" hidden="1" customWidth="1"/>
    <col min="14086" max="14088" width="17.7109375" style="1" customWidth="1"/>
    <col min="14089" max="14089" width="10.140625" style="1" customWidth="1"/>
    <col min="14090" max="14090" width="20.28515625" style="1" customWidth="1"/>
    <col min="14091" max="14091" width="18" style="1" bestFit="1" customWidth="1"/>
    <col min="14092" max="14094" width="14.85546875" style="1" customWidth="1"/>
    <col min="14095" max="14097" width="14.85546875" style="1" bestFit="1" customWidth="1"/>
    <col min="14098" max="14336" width="11.42578125" style="1"/>
    <col min="14337" max="14337" width="0" style="1" hidden="1" customWidth="1"/>
    <col min="14338" max="14338" width="37.85546875" style="1" bestFit="1" customWidth="1"/>
    <col min="14339" max="14341" width="0" style="1" hidden="1" customWidth="1"/>
    <col min="14342" max="14344" width="17.7109375" style="1" customWidth="1"/>
    <col min="14345" max="14345" width="10.140625" style="1" customWidth="1"/>
    <col min="14346" max="14346" width="20.28515625" style="1" customWidth="1"/>
    <col min="14347" max="14347" width="18" style="1" bestFit="1" customWidth="1"/>
    <col min="14348" max="14350" width="14.85546875" style="1" customWidth="1"/>
    <col min="14351" max="14353" width="14.85546875" style="1" bestFit="1" customWidth="1"/>
    <col min="14354" max="14592" width="11.42578125" style="1"/>
    <col min="14593" max="14593" width="0" style="1" hidden="1" customWidth="1"/>
    <col min="14594" max="14594" width="37.85546875" style="1" bestFit="1" customWidth="1"/>
    <col min="14595" max="14597" width="0" style="1" hidden="1" customWidth="1"/>
    <col min="14598" max="14600" width="17.7109375" style="1" customWidth="1"/>
    <col min="14601" max="14601" width="10.140625" style="1" customWidth="1"/>
    <col min="14602" max="14602" width="20.28515625" style="1" customWidth="1"/>
    <col min="14603" max="14603" width="18" style="1" bestFit="1" customWidth="1"/>
    <col min="14604" max="14606" width="14.85546875" style="1" customWidth="1"/>
    <col min="14607" max="14609" width="14.85546875" style="1" bestFit="1" customWidth="1"/>
    <col min="14610" max="14848" width="11.42578125" style="1"/>
    <col min="14849" max="14849" width="0" style="1" hidden="1" customWidth="1"/>
    <col min="14850" max="14850" width="37.85546875" style="1" bestFit="1" customWidth="1"/>
    <col min="14851" max="14853" width="0" style="1" hidden="1" customWidth="1"/>
    <col min="14854" max="14856" width="17.7109375" style="1" customWidth="1"/>
    <col min="14857" max="14857" width="10.140625" style="1" customWidth="1"/>
    <col min="14858" max="14858" width="20.28515625" style="1" customWidth="1"/>
    <col min="14859" max="14859" width="18" style="1" bestFit="1" customWidth="1"/>
    <col min="14860" max="14862" width="14.85546875" style="1" customWidth="1"/>
    <col min="14863" max="14865" width="14.85546875" style="1" bestFit="1" customWidth="1"/>
    <col min="14866" max="15104" width="11.42578125" style="1"/>
    <col min="15105" max="15105" width="0" style="1" hidden="1" customWidth="1"/>
    <col min="15106" max="15106" width="37.85546875" style="1" bestFit="1" customWidth="1"/>
    <col min="15107" max="15109" width="0" style="1" hidden="1" customWidth="1"/>
    <col min="15110" max="15112" width="17.7109375" style="1" customWidth="1"/>
    <col min="15113" max="15113" width="10.140625" style="1" customWidth="1"/>
    <col min="15114" max="15114" width="20.28515625" style="1" customWidth="1"/>
    <col min="15115" max="15115" width="18" style="1" bestFit="1" customWidth="1"/>
    <col min="15116" max="15118" width="14.85546875" style="1" customWidth="1"/>
    <col min="15119" max="15121" width="14.85546875" style="1" bestFit="1" customWidth="1"/>
    <col min="15122" max="15360" width="11.42578125" style="1"/>
    <col min="15361" max="15361" width="0" style="1" hidden="1" customWidth="1"/>
    <col min="15362" max="15362" width="37.85546875" style="1" bestFit="1" customWidth="1"/>
    <col min="15363" max="15365" width="0" style="1" hidden="1" customWidth="1"/>
    <col min="15366" max="15368" width="17.7109375" style="1" customWidth="1"/>
    <col min="15369" max="15369" width="10.140625" style="1" customWidth="1"/>
    <col min="15370" max="15370" width="20.28515625" style="1" customWidth="1"/>
    <col min="15371" max="15371" width="18" style="1" bestFit="1" customWidth="1"/>
    <col min="15372" max="15374" width="14.85546875" style="1" customWidth="1"/>
    <col min="15375" max="15377" width="14.85546875" style="1" bestFit="1" customWidth="1"/>
    <col min="15378" max="15616" width="11.42578125" style="1"/>
    <col min="15617" max="15617" width="0" style="1" hidden="1" customWidth="1"/>
    <col min="15618" max="15618" width="37.85546875" style="1" bestFit="1" customWidth="1"/>
    <col min="15619" max="15621" width="0" style="1" hidden="1" customWidth="1"/>
    <col min="15622" max="15624" width="17.7109375" style="1" customWidth="1"/>
    <col min="15625" max="15625" width="10.140625" style="1" customWidth="1"/>
    <col min="15626" max="15626" width="20.28515625" style="1" customWidth="1"/>
    <col min="15627" max="15627" width="18" style="1" bestFit="1" customWidth="1"/>
    <col min="15628" max="15630" width="14.85546875" style="1" customWidth="1"/>
    <col min="15631" max="15633" width="14.85546875" style="1" bestFit="1" customWidth="1"/>
    <col min="15634" max="15872" width="11.42578125" style="1"/>
    <col min="15873" max="15873" width="0" style="1" hidden="1" customWidth="1"/>
    <col min="15874" max="15874" width="37.85546875" style="1" bestFit="1" customWidth="1"/>
    <col min="15875" max="15877" width="0" style="1" hidden="1" customWidth="1"/>
    <col min="15878" max="15880" width="17.7109375" style="1" customWidth="1"/>
    <col min="15881" max="15881" width="10.140625" style="1" customWidth="1"/>
    <col min="15882" max="15882" width="20.28515625" style="1" customWidth="1"/>
    <col min="15883" max="15883" width="18" style="1" bestFit="1" customWidth="1"/>
    <col min="15884" max="15886" width="14.85546875" style="1" customWidth="1"/>
    <col min="15887" max="15889" width="14.85546875" style="1" bestFit="1" customWidth="1"/>
    <col min="15890" max="16128" width="11.42578125" style="1"/>
    <col min="16129" max="16129" width="0" style="1" hidden="1" customWidth="1"/>
    <col min="16130" max="16130" width="37.85546875" style="1" bestFit="1" customWidth="1"/>
    <col min="16131" max="16133" width="0" style="1" hidden="1" customWidth="1"/>
    <col min="16134" max="16136" width="17.7109375" style="1" customWidth="1"/>
    <col min="16137" max="16137" width="10.140625" style="1" customWidth="1"/>
    <col min="16138" max="16138" width="20.28515625" style="1" customWidth="1"/>
    <col min="16139" max="16139" width="18" style="1" bestFit="1" customWidth="1"/>
    <col min="16140" max="16142" width="14.85546875" style="1" customWidth="1"/>
    <col min="16143" max="16145" width="14.85546875" style="1" bestFit="1" customWidth="1"/>
    <col min="16146" max="16384" width="11.42578125" style="1"/>
  </cols>
  <sheetData>
    <row r="2" spans="2:15" x14ac:dyDescent="0.25">
      <c r="B2" s="366" t="s">
        <v>0</v>
      </c>
      <c r="C2" s="367"/>
      <c r="D2" s="367"/>
      <c r="E2" s="367"/>
      <c r="F2" s="368"/>
      <c r="G2" s="367"/>
      <c r="H2" s="367"/>
      <c r="I2" s="367"/>
    </row>
    <row r="3" spans="2:15" x14ac:dyDescent="0.25">
      <c r="B3" s="366" t="s">
        <v>1</v>
      </c>
      <c r="C3" s="367"/>
      <c r="D3" s="367"/>
      <c r="E3" s="367"/>
      <c r="F3" s="368"/>
      <c r="G3" s="367"/>
      <c r="H3" s="367"/>
      <c r="I3" s="367"/>
    </row>
    <row r="4" spans="2:15" x14ac:dyDescent="0.25">
      <c r="B4" s="366" t="s">
        <v>57</v>
      </c>
      <c r="C4" s="367"/>
      <c r="D4" s="367"/>
      <c r="E4" s="367"/>
      <c r="F4" s="368"/>
      <c r="G4" s="367"/>
      <c r="H4" s="367"/>
      <c r="I4" s="367"/>
    </row>
    <row r="5" spans="2:15" x14ac:dyDescent="0.25">
      <c r="B5" s="366" t="s">
        <v>2</v>
      </c>
      <c r="C5" s="367"/>
      <c r="D5" s="367"/>
      <c r="E5" s="367"/>
      <c r="F5" s="368"/>
      <c r="G5" s="367"/>
      <c r="H5" s="367"/>
      <c r="I5" s="367"/>
    </row>
    <row r="6" spans="2:15" x14ac:dyDescent="0.25">
      <c r="B6" s="367" t="s">
        <v>58</v>
      </c>
      <c r="C6" s="367"/>
      <c r="D6" s="367"/>
      <c r="E6" s="367"/>
      <c r="F6" s="368"/>
      <c r="G6" s="367"/>
      <c r="H6" s="367"/>
      <c r="I6" s="367"/>
    </row>
    <row r="7" spans="2:15" ht="16.5" thickBot="1" x14ac:dyDescent="0.3">
      <c r="B7" s="20"/>
      <c r="C7" s="23"/>
      <c r="D7" s="23"/>
      <c r="E7" s="23"/>
      <c r="F7" s="23"/>
      <c r="G7" s="23"/>
      <c r="H7" s="23"/>
      <c r="I7" s="24"/>
    </row>
    <row r="8" spans="2:15" x14ac:dyDescent="0.25">
      <c r="B8" s="360" t="s">
        <v>3</v>
      </c>
      <c r="C8" s="25" t="s">
        <v>59</v>
      </c>
      <c r="D8" s="25" t="s">
        <v>4</v>
      </c>
      <c r="E8" s="25" t="s">
        <v>60</v>
      </c>
      <c r="F8" s="26" t="s">
        <v>59</v>
      </c>
      <c r="G8" s="27" t="s">
        <v>53</v>
      </c>
      <c r="H8" s="362" t="s">
        <v>5</v>
      </c>
      <c r="I8" s="364" t="s">
        <v>6</v>
      </c>
    </row>
    <row r="9" spans="2:15" ht="16.5" thickBot="1" x14ac:dyDescent="0.3">
      <c r="B9" s="361"/>
      <c r="C9" s="28" t="s">
        <v>61</v>
      </c>
      <c r="D9" s="28" t="s">
        <v>120</v>
      </c>
      <c r="E9" s="29" t="s">
        <v>123</v>
      </c>
      <c r="F9" s="30" t="s">
        <v>61</v>
      </c>
      <c r="G9" s="31" t="s">
        <v>63</v>
      </c>
      <c r="H9" s="363"/>
      <c r="I9" s="365"/>
    </row>
    <row r="10" spans="2:15" x14ac:dyDescent="0.25">
      <c r="B10" s="32" t="s">
        <v>7</v>
      </c>
      <c r="C10" s="33">
        <f t="shared" ref="C10:H10" si="0">SUM(C11:C14)</f>
        <v>1831275673</v>
      </c>
      <c r="D10" s="33">
        <f t="shared" si="0"/>
        <v>0</v>
      </c>
      <c r="E10" s="33">
        <f t="shared" si="0"/>
        <v>151453219</v>
      </c>
      <c r="F10" s="34">
        <f t="shared" si="0"/>
        <v>1982728892</v>
      </c>
      <c r="G10" s="35">
        <f t="shared" si="0"/>
        <v>1492381676.25</v>
      </c>
      <c r="H10" s="36">
        <f t="shared" si="0"/>
        <v>490347215.75</v>
      </c>
      <c r="I10" s="37">
        <f>+G10/F10</f>
        <v>0.75269073965256972</v>
      </c>
      <c r="N10" s="232"/>
    </row>
    <row r="11" spans="2:15" x14ac:dyDescent="0.25">
      <c r="B11" s="3" t="s">
        <v>8</v>
      </c>
      <c r="C11" s="38">
        <v>1680712981</v>
      </c>
      <c r="D11" s="39"/>
      <c r="E11" s="39"/>
      <c r="F11" s="40">
        <f>SUM(C11:E11)</f>
        <v>1680712981</v>
      </c>
      <c r="G11" s="41">
        <f>1156468611+11</f>
        <v>1156468622</v>
      </c>
      <c r="H11" s="42">
        <f>+F11-G11</f>
        <v>524244359</v>
      </c>
      <c r="I11" s="43">
        <f>+G11/F11</f>
        <v>0.68808216219756801</v>
      </c>
      <c r="N11" s="232"/>
    </row>
    <row r="12" spans="2:15" x14ac:dyDescent="0.25">
      <c r="B12" s="3" t="s">
        <v>49</v>
      </c>
      <c r="C12" s="38">
        <v>80300000</v>
      </c>
      <c r="D12" s="39"/>
      <c r="E12" s="39"/>
      <c r="F12" s="40">
        <f>SUM(C12:E12)</f>
        <v>80300000</v>
      </c>
      <c r="G12" s="41">
        <v>110764764</v>
      </c>
      <c r="H12" s="42">
        <f t="shared" ref="H12:H75" si="1">+F12-G12</f>
        <v>-30464764</v>
      </c>
      <c r="I12" s="43">
        <f t="shared" ref="I12:I75" si="2">+G12/F12</f>
        <v>1.3793868493150685</v>
      </c>
      <c r="N12" s="232"/>
    </row>
    <row r="13" spans="2:15" x14ac:dyDescent="0.25">
      <c r="B13" s="3" t="s">
        <v>9</v>
      </c>
      <c r="C13" s="38">
        <v>70262692</v>
      </c>
      <c r="D13" s="44"/>
      <c r="E13" s="39"/>
      <c r="F13" s="45">
        <f>SUM(C13:E13)</f>
        <v>70262692</v>
      </c>
      <c r="G13" s="46">
        <v>91854374</v>
      </c>
      <c r="H13" s="47">
        <f t="shared" si="1"/>
        <v>-21591682</v>
      </c>
      <c r="I13" s="48">
        <f t="shared" si="2"/>
        <v>1.3072993844300755</v>
      </c>
      <c r="N13" s="232"/>
    </row>
    <row r="14" spans="2:15" x14ac:dyDescent="0.25">
      <c r="B14" s="3" t="s">
        <v>10</v>
      </c>
      <c r="C14" s="38"/>
      <c r="D14" s="44"/>
      <c r="E14" s="39">
        <v>151453219</v>
      </c>
      <c r="F14" s="45">
        <f>SUM(C14:E14)</f>
        <v>151453219</v>
      </c>
      <c r="G14" s="46">
        <v>133293916.25</v>
      </c>
      <c r="H14" s="47">
        <f t="shared" si="1"/>
        <v>18159302.75</v>
      </c>
      <c r="I14" s="48">
        <f t="shared" si="2"/>
        <v>0.88009959200669086</v>
      </c>
      <c r="J14" s="16">
        <f>+G103</f>
        <v>9.9000000953674316</v>
      </c>
      <c r="K14" s="16">
        <f>+G102</f>
        <v>1534275973.3499999</v>
      </c>
      <c r="L14" s="17">
        <f>+J14*-1</f>
        <v>-9.9000000953674316</v>
      </c>
      <c r="M14" s="17"/>
      <c r="N14" s="232"/>
      <c r="O14" s="17"/>
    </row>
    <row r="15" spans="2:15" x14ac:dyDescent="0.25">
      <c r="B15" s="2" t="s">
        <v>11</v>
      </c>
      <c r="C15" s="49">
        <f t="shared" ref="C15:H15" si="3">+SUM(C16:C17)</f>
        <v>60500000</v>
      </c>
      <c r="D15" s="49">
        <f t="shared" si="3"/>
        <v>0</v>
      </c>
      <c r="E15" s="49">
        <f t="shared" si="3"/>
        <v>0</v>
      </c>
      <c r="F15" s="50">
        <f t="shared" si="3"/>
        <v>60500000</v>
      </c>
      <c r="G15" s="51">
        <f t="shared" si="3"/>
        <v>41894307</v>
      </c>
      <c r="H15" s="52">
        <f t="shared" si="3"/>
        <v>18605693</v>
      </c>
      <c r="I15" s="53">
        <f t="shared" si="2"/>
        <v>0.69246788429752071</v>
      </c>
      <c r="N15" s="232"/>
    </row>
    <row r="16" spans="2:15" x14ac:dyDescent="0.25">
      <c r="B16" s="3" t="s">
        <v>12</v>
      </c>
      <c r="C16" s="39">
        <v>500000</v>
      </c>
      <c r="D16" s="39"/>
      <c r="E16" s="39"/>
      <c r="F16" s="40">
        <f>SUM(C16:E16)</f>
        <v>500000</v>
      </c>
      <c r="G16" s="41">
        <v>8695703</v>
      </c>
      <c r="H16" s="42">
        <f t="shared" si="1"/>
        <v>-8195703</v>
      </c>
      <c r="I16" s="43">
        <f t="shared" si="2"/>
        <v>17.391406</v>
      </c>
      <c r="N16" s="232"/>
    </row>
    <row r="17" spans="2:15" x14ac:dyDescent="0.25">
      <c r="B17" s="3" t="s">
        <v>13</v>
      </c>
      <c r="C17" s="38">
        <v>60000000</v>
      </c>
      <c r="D17" s="44"/>
      <c r="E17" s="39"/>
      <c r="F17" s="40">
        <f>SUM(C17:E17)</f>
        <v>60000000</v>
      </c>
      <c r="G17" s="41">
        <v>33198604</v>
      </c>
      <c r="H17" s="42">
        <f t="shared" si="1"/>
        <v>26801396</v>
      </c>
      <c r="I17" s="43">
        <f t="shared" si="2"/>
        <v>0.55331006666666671</v>
      </c>
      <c r="N17" s="232"/>
    </row>
    <row r="18" spans="2:15" x14ac:dyDescent="0.25">
      <c r="B18" s="2" t="s">
        <v>14</v>
      </c>
      <c r="C18" s="49">
        <f>SUM(C10+C15)</f>
        <v>1891775673</v>
      </c>
      <c r="D18" s="49">
        <f>SUM(D10+D15+D16)</f>
        <v>0</v>
      </c>
      <c r="E18" s="49">
        <f>SUM(E10+E15+E16)</f>
        <v>151453219</v>
      </c>
      <c r="F18" s="50">
        <f>SUM(F10+F15)</f>
        <v>2043228892</v>
      </c>
      <c r="G18" s="51">
        <f>SUM(G10+G15)</f>
        <v>1534275983.25</v>
      </c>
      <c r="H18" s="52">
        <f>SUM(H10+H15)</f>
        <v>508952908.75</v>
      </c>
      <c r="I18" s="53">
        <f t="shared" si="2"/>
        <v>0.75090754112633207</v>
      </c>
      <c r="N18" s="232"/>
    </row>
    <row r="19" spans="2:15" x14ac:dyDescent="0.25">
      <c r="B19" s="4" t="s">
        <v>15</v>
      </c>
      <c r="C19" s="49"/>
      <c r="D19" s="49"/>
      <c r="E19" s="49"/>
      <c r="F19" s="50"/>
      <c r="G19" s="51"/>
      <c r="H19" s="52"/>
      <c r="I19" s="53"/>
      <c r="N19" s="232"/>
    </row>
    <row r="20" spans="2:15" x14ac:dyDescent="0.25">
      <c r="B20" s="5" t="s">
        <v>16</v>
      </c>
      <c r="C20" s="49">
        <f t="shared" ref="C20:H20" si="4">+C21+C33</f>
        <v>297938586</v>
      </c>
      <c r="D20" s="49">
        <f t="shared" si="4"/>
        <v>0</v>
      </c>
      <c r="E20" s="49">
        <f t="shared" si="4"/>
        <v>0</v>
      </c>
      <c r="F20" s="50">
        <f t="shared" si="4"/>
        <v>297938586</v>
      </c>
      <c r="G20" s="51">
        <f t="shared" si="4"/>
        <v>239158377.97</v>
      </c>
      <c r="H20" s="52">
        <f t="shared" si="4"/>
        <v>58780208.030000001</v>
      </c>
      <c r="I20" s="53">
        <f t="shared" si="2"/>
        <v>0.80271032087800809</v>
      </c>
      <c r="N20" s="232"/>
    </row>
    <row r="21" spans="2:15" x14ac:dyDescent="0.25">
      <c r="B21" s="6" t="s">
        <v>17</v>
      </c>
      <c r="C21" s="49">
        <f t="shared" ref="C21:H21" si="5">SUM(C22:C32)</f>
        <v>181350884</v>
      </c>
      <c r="D21" s="49">
        <f t="shared" si="5"/>
        <v>0</v>
      </c>
      <c r="E21" s="49">
        <f t="shared" si="5"/>
        <v>0</v>
      </c>
      <c r="F21" s="50">
        <f t="shared" si="5"/>
        <v>181350884</v>
      </c>
      <c r="G21" s="51">
        <f t="shared" si="5"/>
        <v>166715489</v>
      </c>
      <c r="H21" s="52">
        <f t="shared" si="5"/>
        <v>14635395</v>
      </c>
      <c r="I21" s="53">
        <f t="shared" si="2"/>
        <v>0.91929791199694399</v>
      </c>
      <c r="N21" s="232"/>
    </row>
    <row r="22" spans="2:15" x14ac:dyDescent="0.25">
      <c r="B22" s="7" t="s">
        <v>18</v>
      </c>
      <c r="C22" s="39">
        <f>+'[2]FUNCIONAMIENTO '!V8+'[2]RECAUDO '!V8</f>
        <v>96843463</v>
      </c>
      <c r="D22" s="39">
        <v>-153459</v>
      </c>
      <c r="E22" s="39"/>
      <c r="F22" s="40">
        <f>SUM(C22:E22)</f>
        <v>96690004</v>
      </c>
      <c r="G22" s="41">
        <f>+'[3]FUNCIONAMIENTO '!I70+'[3]RECAUDO '!I79</f>
        <v>89321896</v>
      </c>
      <c r="H22" s="42">
        <f t="shared" si="1"/>
        <v>7368108</v>
      </c>
      <c r="I22" s="43">
        <f t="shared" si="2"/>
        <v>0.92379659018320037</v>
      </c>
      <c r="N22" s="232"/>
    </row>
    <row r="23" spans="2:15" x14ac:dyDescent="0.25">
      <c r="B23" s="7" t="s">
        <v>19</v>
      </c>
      <c r="C23" s="39">
        <f>+'[2]FUNCIONAMIENTO '!V9+'[2]RECAUDO '!V9</f>
        <v>3630389</v>
      </c>
      <c r="D23" s="39">
        <v>153459</v>
      </c>
      <c r="E23" s="39"/>
      <c r="F23" s="40">
        <f t="shared" ref="F23:F32" si="6">SUM(C23:E23)</f>
        <v>3783848</v>
      </c>
      <c r="G23" s="41">
        <f>+'[3]FUNCIONAMIENTO '!I75+'[3]RECAUDO '!I84</f>
        <v>3758539</v>
      </c>
      <c r="H23" s="42">
        <f t="shared" si="1"/>
        <v>25309</v>
      </c>
      <c r="I23" s="43">
        <f t="shared" si="2"/>
        <v>0.99331130637382892</v>
      </c>
      <c r="N23" s="232"/>
    </row>
    <row r="24" spans="2:15" x14ac:dyDescent="0.25">
      <c r="B24" s="8" t="s">
        <v>20</v>
      </c>
      <c r="C24" s="54">
        <v>1001110</v>
      </c>
      <c r="D24" s="39"/>
      <c r="E24" s="39"/>
      <c r="F24" s="40">
        <f t="shared" si="6"/>
        <v>1001110</v>
      </c>
      <c r="G24" s="41">
        <f>+'[3]FUNCIONAMIENTO '!I80+'[3]RECAUDO '!I89</f>
        <v>918829</v>
      </c>
      <c r="H24" s="42">
        <f t="shared" si="1"/>
        <v>82281</v>
      </c>
      <c r="I24" s="43">
        <f t="shared" si="2"/>
        <v>0.91781023064398515</v>
      </c>
      <c r="N24" s="232"/>
      <c r="O24" s="55"/>
    </row>
    <row r="25" spans="2:15" x14ac:dyDescent="0.25">
      <c r="B25" s="7" t="s">
        <v>21</v>
      </c>
      <c r="C25" s="39">
        <f>+'[2]FUNCIONAMIENTO '!V11+'[2]RECAUDO '!V11</f>
        <v>7891302</v>
      </c>
      <c r="D25" s="39"/>
      <c r="E25" s="39"/>
      <c r="F25" s="40">
        <f t="shared" si="6"/>
        <v>7891302</v>
      </c>
      <c r="G25" s="41">
        <f>+'[3]FUNCIONAMIENTO '!I85+'[3]RECAUDO '!I94</f>
        <v>7319424</v>
      </c>
      <c r="H25" s="42">
        <f t="shared" si="1"/>
        <v>571878</v>
      </c>
      <c r="I25" s="43">
        <f t="shared" si="2"/>
        <v>0.92753059000910121</v>
      </c>
      <c r="N25" s="232"/>
    </row>
    <row r="26" spans="2:15" x14ac:dyDescent="0.25">
      <c r="B26" s="7" t="s">
        <v>22</v>
      </c>
      <c r="C26" s="39">
        <f>+'[2]FUNCIONAMIENTO '!V22+'[2]RECAUDO '!V20</f>
        <v>32420800</v>
      </c>
      <c r="D26" s="39"/>
      <c r="E26" s="39"/>
      <c r="F26" s="40">
        <f t="shared" si="6"/>
        <v>32420800</v>
      </c>
      <c r="G26" s="41">
        <f>+'[3]FUNCIONAMIENTO '!I90+'[3]RECAUDO '!I99</f>
        <v>28670800</v>
      </c>
      <c r="H26" s="42">
        <f t="shared" si="1"/>
        <v>3750000</v>
      </c>
      <c r="I26" s="43">
        <f t="shared" si="2"/>
        <v>0.88433351428712437</v>
      </c>
      <c r="N26" s="232"/>
    </row>
    <row r="27" spans="2:15" x14ac:dyDescent="0.25">
      <c r="B27" s="7" t="s">
        <v>23</v>
      </c>
      <c r="C27" s="39">
        <v>0</v>
      </c>
      <c r="D27" s="39"/>
      <c r="E27" s="39"/>
      <c r="F27" s="40">
        <f t="shared" si="6"/>
        <v>0</v>
      </c>
      <c r="G27" s="41">
        <f t="shared" ref="G27" si="7">+F27</f>
        <v>0</v>
      </c>
      <c r="H27" s="42">
        <f t="shared" si="1"/>
        <v>0</v>
      </c>
      <c r="I27" s="43" t="e">
        <f t="shared" si="2"/>
        <v>#DIV/0!</v>
      </c>
      <c r="N27" s="232"/>
    </row>
    <row r="28" spans="2:15" x14ac:dyDescent="0.25">
      <c r="B28" s="7" t="s">
        <v>24</v>
      </c>
      <c r="C28" s="39">
        <f>+'[2]FUNCIONAMIENTO '!V12+'[2]RECAUDO '!V12</f>
        <v>7761480</v>
      </c>
      <c r="D28" s="39"/>
      <c r="E28" s="39"/>
      <c r="F28" s="40">
        <f t="shared" si="6"/>
        <v>7761480</v>
      </c>
      <c r="G28" s="41">
        <v>7319421</v>
      </c>
      <c r="H28" s="42">
        <f t="shared" si="1"/>
        <v>442059</v>
      </c>
      <c r="I28" s="43">
        <f t="shared" si="2"/>
        <v>0.94304449666816126</v>
      </c>
      <c r="N28" s="232"/>
    </row>
    <row r="29" spans="2:15" x14ac:dyDescent="0.25">
      <c r="B29" s="7" t="s">
        <v>25</v>
      </c>
      <c r="C29" s="39">
        <v>1535104</v>
      </c>
      <c r="D29" s="39"/>
      <c r="E29" s="39"/>
      <c r="F29" s="40">
        <f t="shared" si="6"/>
        <v>1535104</v>
      </c>
      <c r="G29" s="41">
        <v>1432608</v>
      </c>
      <c r="H29" s="42">
        <f t="shared" si="1"/>
        <v>102496</v>
      </c>
      <c r="I29" s="43">
        <f t="shared" si="2"/>
        <v>0.93323188526640544</v>
      </c>
      <c r="N29" s="232"/>
    </row>
    <row r="30" spans="2:15" x14ac:dyDescent="0.25">
      <c r="B30" s="7" t="s">
        <v>26</v>
      </c>
      <c r="C30" s="39">
        <f>+'[2]FUNCIONAMIENTO '!V14+'[2]FUNCIONAMIENTO '!V15+'[2]FUNCIONAMIENTO '!V16+'[2]RECAUDO '!V15+'[2]RECAUDO '!V14+'[2]RECAUDO '!V16</f>
        <v>20528936</v>
      </c>
      <c r="D30" s="39"/>
      <c r="E30" s="39"/>
      <c r="F30" s="40">
        <f t="shared" si="6"/>
        <v>20528936</v>
      </c>
      <c r="G30" s="41">
        <f>+'[3]FUNCIONAMIENTO '!I109+'[3]FUNCIONAMIENTO '!I114+'[3]FUNCIONAMIENTO '!I119+'[3]RECAUDO '!I119+'[3]RECAUDO '!I124+'[3]RECAUDO '!I129</f>
        <v>18888372</v>
      </c>
      <c r="H30" s="42">
        <f t="shared" si="1"/>
        <v>1640564</v>
      </c>
      <c r="I30" s="43">
        <f t="shared" si="2"/>
        <v>0.92008528839487835</v>
      </c>
      <c r="N30" s="232"/>
    </row>
    <row r="31" spans="2:15" x14ac:dyDescent="0.25">
      <c r="B31" s="7" t="s">
        <v>27</v>
      </c>
      <c r="C31" s="39">
        <f>+'[2]FUNCIONAMIENTO '!V17+'[2]RECAUDO '!V17</f>
        <v>4324800</v>
      </c>
      <c r="D31" s="39"/>
      <c r="E31" s="39"/>
      <c r="F31" s="40">
        <f t="shared" si="6"/>
        <v>4324800</v>
      </c>
      <c r="G31" s="41">
        <f>+'[3]FUNCIONAMIENTO '!I124+'[3]RECAUDO '!I134</f>
        <v>4037300</v>
      </c>
      <c r="H31" s="42">
        <f t="shared" si="1"/>
        <v>287500</v>
      </c>
      <c r="I31" s="43">
        <f t="shared" si="2"/>
        <v>0.93352293747687753</v>
      </c>
      <c r="N31" s="232"/>
    </row>
    <row r="32" spans="2:15" x14ac:dyDescent="0.25">
      <c r="B32" s="7" t="s">
        <v>28</v>
      </c>
      <c r="C32" s="39">
        <f>+'[2]FUNCIONAMIENTO '!V18+'[2]FUNCIONAMIENTO '!V19+'[2]RECAUDO '!V18+'[2]RECAUDO '!V19</f>
        <v>5413500</v>
      </c>
      <c r="D32" s="39"/>
      <c r="E32" s="39"/>
      <c r="F32" s="40">
        <f t="shared" si="6"/>
        <v>5413500</v>
      </c>
      <c r="G32" s="41">
        <f>+'[3]FUNCIONAMIENTO '!I134+'[3]FUNCIONAMIENTO '!I129+'[3]RECAUDO '!I139+'[3]RECAUDO '!I144</f>
        <v>5048300</v>
      </c>
      <c r="H32" s="42">
        <f t="shared" si="1"/>
        <v>365200</v>
      </c>
      <c r="I32" s="43">
        <f t="shared" si="2"/>
        <v>0.932539022813337</v>
      </c>
      <c r="N32" s="232"/>
    </row>
    <row r="33" spans="2:14" x14ac:dyDescent="0.25">
      <c r="B33" s="6" t="s">
        <v>29</v>
      </c>
      <c r="C33" s="56">
        <f t="shared" ref="C33:H33" si="8">SUM(C34:C48)</f>
        <v>116587702</v>
      </c>
      <c r="D33" s="56">
        <f t="shared" si="8"/>
        <v>0</v>
      </c>
      <c r="E33" s="56">
        <f t="shared" si="8"/>
        <v>0</v>
      </c>
      <c r="F33" s="57">
        <f t="shared" si="8"/>
        <v>116587702</v>
      </c>
      <c r="G33" s="58">
        <f t="shared" si="8"/>
        <v>72442888.969999999</v>
      </c>
      <c r="H33" s="59">
        <f t="shared" si="8"/>
        <v>44144813.030000001</v>
      </c>
      <c r="I33" s="53">
        <f t="shared" si="2"/>
        <v>0.62135960935227974</v>
      </c>
      <c r="N33" s="232"/>
    </row>
    <row r="34" spans="2:14" x14ac:dyDescent="0.25">
      <c r="B34" s="7" t="s">
        <v>64</v>
      </c>
      <c r="C34" s="60">
        <f>+'[2]FUNCIONAMIENTO '!V24+'[2]RECAUDO '!V23</f>
        <v>5390000</v>
      </c>
      <c r="D34" s="38"/>
      <c r="E34" s="38"/>
      <c r="F34" s="45">
        <f t="shared" ref="F34:F48" si="9">SUM(C34:E34)</f>
        <v>5390000</v>
      </c>
      <c r="G34" s="46">
        <f>+'[3]FUNCIONAMIENTO '!I140+'[3]RECAUDO '!I150</f>
        <v>5390000</v>
      </c>
      <c r="H34" s="47">
        <f t="shared" si="1"/>
        <v>0</v>
      </c>
      <c r="I34" s="48">
        <f t="shared" si="2"/>
        <v>1</v>
      </c>
      <c r="N34" s="232"/>
    </row>
    <row r="35" spans="2:14" x14ac:dyDescent="0.25">
      <c r="B35" s="7" t="s">
        <v>30</v>
      </c>
      <c r="C35" s="54">
        <v>0</v>
      </c>
      <c r="D35" s="39"/>
      <c r="E35" s="39"/>
      <c r="F35" s="40">
        <f t="shared" si="9"/>
        <v>0</v>
      </c>
      <c r="G35" s="41"/>
      <c r="H35" s="42">
        <f t="shared" si="1"/>
        <v>0</v>
      </c>
      <c r="I35" s="43" t="e">
        <f t="shared" si="2"/>
        <v>#DIV/0!</v>
      </c>
      <c r="N35" s="232"/>
    </row>
    <row r="36" spans="2:14" x14ac:dyDescent="0.25">
      <c r="B36" s="7" t="s">
        <v>31</v>
      </c>
      <c r="C36" s="54">
        <v>3348856</v>
      </c>
      <c r="D36" s="39"/>
      <c r="E36" s="39"/>
      <c r="F36" s="40">
        <f t="shared" si="9"/>
        <v>3348856</v>
      </c>
      <c r="G36" s="41">
        <f>+'[3]FUNCIONAMIENTO '!I152+'[3]RECAUDO '!I185</f>
        <v>3223896</v>
      </c>
      <c r="H36" s="42">
        <f t="shared" si="1"/>
        <v>124960</v>
      </c>
      <c r="I36" s="43">
        <f t="shared" si="2"/>
        <v>0.96268576492987457</v>
      </c>
      <c r="N36" s="232"/>
    </row>
    <row r="37" spans="2:14" x14ac:dyDescent="0.25">
      <c r="B37" s="7" t="s">
        <v>32</v>
      </c>
      <c r="C37" s="54">
        <f>+'[2]RECAUDO '!V53</f>
        <v>1565662</v>
      </c>
      <c r="D37" s="39"/>
      <c r="E37" s="39"/>
      <c r="F37" s="40">
        <f t="shared" si="9"/>
        <v>1565662</v>
      </c>
      <c r="G37" s="41">
        <f>+'[3]RECAUDO '!I201</f>
        <v>1565662</v>
      </c>
      <c r="H37" s="42">
        <f t="shared" si="1"/>
        <v>0</v>
      </c>
      <c r="I37" s="43">
        <f t="shared" si="2"/>
        <v>1</v>
      </c>
      <c r="N37" s="232"/>
    </row>
    <row r="38" spans="2:14" x14ac:dyDescent="0.25">
      <c r="B38" s="7" t="s">
        <v>33</v>
      </c>
      <c r="C38" s="54">
        <f>+'[2]FUNCIONAMIENTO '!V42+'[2]RECAUDO '!V54</f>
        <v>42600520</v>
      </c>
      <c r="D38" s="39"/>
      <c r="E38" s="39"/>
      <c r="F38" s="40">
        <f t="shared" si="9"/>
        <v>42600520</v>
      </c>
      <c r="G38" s="41">
        <f>+'[3]FUNCIONAMIENTO '!I165+'[3]RECAUDO '!I207</f>
        <v>11653162</v>
      </c>
      <c r="H38" s="42">
        <f t="shared" si="1"/>
        <v>30947358</v>
      </c>
      <c r="I38" s="61">
        <f t="shared" si="2"/>
        <v>0.27354506470813034</v>
      </c>
      <c r="N38" s="232"/>
    </row>
    <row r="39" spans="2:14" x14ac:dyDescent="0.25">
      <c r="B39" s="7" t="s">
        <v>34</v>
      </c>
      <c r="C39" s="54">
        <f>+'[2]FUNCIONAMIENTO '!V40+'[2]RECAUDO '!V58+'[2]RECAUDO '!V65</f>
        <v>1438227</v>
      </c>
      <c r="D39" s="39"/>
      <c r="E39" s="39"/>
      <c r="F39" s="40">
        <f t="shared" si="9"/>
        <v>1438227</v>
      </c>
      <c r="G39" s="41">
        <f>+'[3]FUNCIONAMIENTO '!I162+'[3]RECAUDO '!I236+'[3]RECAUDO '!I253</f>
        <v>491550</v>
      </c>
      <c r="H39" s="42">
        <f t="shared" si="1"/>
        <v>946677</v>
      </c>
      <c r="I39" s="61">
        <f t="shared" si="2"/>
        <v>0.34177497710722993</v>
      </c>
      <c r="N39" s="232"/>
    </row>
    <row r="40" spans="2:14" x14ac:dyDescent="0.25">
      <c r="B40" s="7" t="s">
        <v>35</v>
      </c>
      <c r="C40" s="54">
        <v>0</v>
      </c>
      <c r="D40" s="39"/>
      <c r="E40" s="39"/>
      <c r="F40" s="40">
        <f t="shared" si="9"/>
        <v>0</v>
      </c>
      <c r="G40" s="41">
        <v>0</v>
      </c>
      <c r="H40" s="42">
        <f t="shared" si="1"/>
        <v>0</v>
      </c>
      <c r="I40" s="43" t="e">
        <f t="shared" si="2"/>
        <v>#DIV/0!</v>
      </c>
      <c r="N40" s="232"/>
    </row>
    <row r="41" spans="2:14" x14ac:dyDescent="0.25">
      <c r="B41" s="7" t="s">
        <v>36</v>
      </c>
      <c r="C41" s="54">
        <f>+'[2]FUNCIONAMIENTO '!V32+'[2]RECAUDO '!V41</f>
        <v>26948658</v>
      </c>
      <c r="D41" s="39"/>
      <c r="E41" s="39"/>
      <c r="F41" s="40">
        <f t="shared" si="9"/>
        <v>26948658</v>
      </c>
      <c r="G41" s="41">
        <f>+'[3]FUNCIONAMIENTO '!I143+'[3]RECAUDO '!I161</f>
        <v>26805203.91</v>
      </c>
      <c r="H41" s="42">
        <f t="shared" si="1"/>
        <v>143454.08999999985</v>
      </c>
      <c r="I41" s="43">
        <f t="shared" si="2"/>
        <v>0.99467676312490216</v>
      </c>
      <c r="N41" s="232"/>
    </row>
    <row r="42" spans="2:14" x14ac:dyDescent="0.25">
      <c r="B42" s="7" t="s">
        <v>65</v>
      </c>
      <c r="C42" s="54">
        <f>+'[2]FUNCIONAMIENTO '!V34+'[2]RECAUDO '!V38</f>
        <v>1500000</v>
      </c>
      <c r="D42" s="39"/>
      <c r="E42" s="39"/>
      <c r="F42" s="40">
        <f t="shared" si="9"/>
        <v>1500000</v>
      </c>
      <c r="G42" s="41">
        <f>+'[3]FUNCIONAMIENTO '!I149+'[3]RECAUDO '!I155</f>
        <v>1065000.06</v>
      </c>
      <c r="H42" s="42">
        <f t="shared" si="1"/>
        <v>434999.93999999994</v>
      </c>
      <c r="I42" s="43">
        <f t="shared" si="2"/>
        <v>0.71000004000000005</v>
      </c>
      <c r="N42" s="232"/>
    </row>
    <row r="43" spans="2:14" x14ac:dyDescent="0.25">
      <c r="B43" s="7" t="s">
        <v>37</v>
      </c>
      <c r="C43" s="54">
        <v>1028016</v>
      </c>
      <c r="D43" s="39"/>
      <c r="E43" s="39"/>
      <c r="F43" s="40">
        <f t="shared" si="9"/>
        <v>1028016</v>
      </c>
      <c r="G43" s="41">
        <f>+'[3]FUNCIONAMIENTO '!I175+'[3]RECAUDO '!I266</f>
        <v>602818</v>
      </c>
      <c r="H43" s="42">
        <f t="shared" si="1"/>
        <v>425198</v>
      </c>
      <c r="I43" s="61">
        <f t="shared" si="2"/>
        <v>0.58638970599679385</v>
      </c>
      <c r="N43" s="232"/>
    </row>
    <row r="44" spans="2:14" x14ac:dyDescent="0.25">
      <c r="B44" s="7" t="s">
        <v>38</v>
      </c>
      <c r="C44" s="54">
        <f>+'[2]RECAUDO '!V71</f>
        <v>7846142</v>
      </c>
      <c r="D44" s="39"/>
      <c r="E44" s="39"/>
      <c r="F44" s="40">
        <f t="shared" si="9"/>
        <v>7846142</v>
      </c>
      <c r="G44" s="41">
        <f>+'[3]RECAUDO '!I261</f>
        <v>7683925</v>
      </c>
      <c r="H44" s="42">
        <f t="shared" si="1"/>
        <v>162217</v>
      </c>
      <c r="I44" s="48">
        <f t="shared" si="2"/>
        <v>0.9793252530989115</v>
      </c>
      <c r="N44" s="232"/>
    </row>
    <row r="45" spans="2:14" x14ac:dyDescent="0.25">
      <c r="B45" s="7" t="s">
        <v>39</v>
      </c>
      <c r="C45" s="54">
        <f>+'[2]FUNCIONAMIENTO '!V39+'[2]RECAUDO '!V52</f>
        <v>4597821</v>
      </c>
      <c r="D45" s="39"/>
      <c r="E45" s="39"/>
      <c r="F45" s="40">
        <f t="shared" si="9"/>
        <v>4597821</v>
      </c>
      <c r="G45" s="41">
        <f>+'[3]FUNCIONAMIENTO '!I157+'[3]RECAUDO '!I196</f>
        <v>4597821</v>
      </c>
      <c r="H45" s="42">
        <f t="shared" si="1"/>
        <v>0</v>
      </c>
      <c r="I45" s="43">
        <f t="shared" si="2"/>
        <v>1</v>
      </c>
      <c r="N45" s="232"/>
    </row>
    <row r="46" spans="2:14" x14ac:dyDescent="0.25">
      <c r="B46" s="7" t="s">
        <v>66</v>
      </c>
      <c r="C46" s="54">
        <f>+'[2]RECAUDO '!V73</f>
        <v>323800</v>
      </c>
      <c r="D46" s="39"/>
      <c r="E46" s="39"/>
      <c r="F46" s="40">
        <f t="shared" si="9"/>
        <v>323800</v>
      </c>
      <c r="G46" s="41">
        <f>+'[3]RECAUDO '!I274</f>
        <v>321200</v>
      </c>
      <c r="H46" s="42">
        <f t="shared" si="1"/>
        <v>2600</v>
      </c>
      <c r="I46" s="43">
        <f t="shared" si="2"/>
        <v>0.9919703520691785</v>
      </c>
      <c r="N46" s="232"/>
    </row>
    <row r="47" spans="2:14" x14ac:dyDescent="0.25">
      <c r="B47" s="7" t="s">
        <v>40</v>
      </c>
      <c r="C47" s="54">
        <v>15000000</v>
      </c>
      <c r="D47" s="39"/>
      <c r="E47" s="39"/>
      <c r="F47" s="40">
        <f t="shared" si="9"/>
        <v>15000000</v>
      </c>
      <c r="G47" s="41">
        <f>+'[3]FUNCIONAMIENTO '!I202</f>
        <v>9042651</v>
      </c>
      <c r="H47" s="42">
        <f t="shared" si="1"/>
        <v>5957349</v>
      </c>
      <c r="I47" s="61">
        <f t="shared" si="2"/>
        <v>0.60284340000000003</v>
      </c>
      <c r="N47" s="232"/>
    </row>
    <row r="48" spans="2:14" ht="16.5" thickBot="1" x14ac:dyDescent="0.3">
      <c r="B48" s="9" t="s">
        <v>41</v>
      </c>
      <c r="C48" s="62">
        <v>5000000</v>
      </c>
      <c r="D48" s="63"/>
      <c r="E48" s="63"/>
      <c r="F48" s="40">
        <f t="shared" si="9"/>
        <v>5000000</v>
      </c>
      <c r="G48" s="41">
        <f>+'[3]FUNCIONAMIENTO '!I180</f>
        <v>0</v>
      </c>
      <c r="H48" s="42">
        <f t="shared" si="1"/>
        <v>5000000</v>
      </c>
      <c r="I48" s="61">
        <f t="shared" si="2"/>
        <v>0</v>
      </c>
      <c r="M48" s="55"/>
      <c r="N48" s="232"/>
    </row>
    <row r="49" spans="1:256" ht="16.5" thickBot="1" x14ac:dyDescent="0.3">
      <c r="B49" s="64" t="s">
        <v>67</v>
      </c>
      <c r="C49" s="65">
        <f t="shared" ref="C49:H49" si="10">+C50</f>
        <v>176101298.10000002</v>
      </c>
      <c r="D49" s="65">
        <f t="shared" si="10"/>
        <v>0</v>
      </c>
      <c r="E49" s="65">
        <f t="shared" si="10"/>
        <v>0</v>
      </c>
      <c r="F49" s="66">
        <f t="shared" si="10"/>
        <v>176101298.10000002</v>
      </c>
      <c r="G49" s="67">
        <f t="shared" si="10"/>
        <v>126723338.60000001</v>
      </c>
      <c r="H49" s="68">
        <f t="shared" si="10"/>
        <v>49377959.500000015</v>
      </c>
      <c r="I49" s="69">
        <f t="shared" si="2"/>
        <v>0.71960479546289036</v>
      </c>
      <c r="N49" s="232"/>
    </row>
    <row r="50" spans="1:256" x14ac:dyDescent="0.25">
      <c r="B50" s="8" t="s">
        <v>42</v>
      </c>
      <c r="C50" s="54">
        <f>(+C11+C12)*10%</f>
        <v>176101298.10000002</v>
      </c>
      <c r="D50" s="39">
        <f>(+D11+D12)*10%</f>
        <v>0</v>
      </c>
      <c r="E50" s="54">
        <f>(+E11+E12)*10%</f>
        <v>0</v>
      </c>
      <c r="F50" s="70">
        <f>(+F11+F12)*10%</f>
        <v>176101298.10000002</v>
      </c>
      <c r="G50" s="71">
        <f>(+G11+G12)*10%</f>
        <v>126723338.60000001</v>
      </c>
      <c r="H50" s="72">
        <f t="shared" si="1"/>
        <v>49377959.500000015</v>
      </c>
      <c r="I50" s="43">
        <f>+G50/F50</f>
        <v>0.71960479546289036</v>
      </c>
      <c r="N50" s="232"/>
    </row>
    <row r="51" spans="1:256" x14ac:dyDescent="0.25">
      <c r="B51" s="73" t="s">
        <v>68</v>
      </c>
      <c r="C51" s="74">
        <f t="shared" ref="C51:H51" si="11">+C52+C64+C82</f>
        <v>1344982058</v>
      </c>
      <c r="D51" s="74">
        <f t="shared" si="11"/>
        <v>0</v>
      </c>
      <c r="E51" s="74">
        <f t="shared" si="11"/>
        <v>0</v>
      </c>
      <c r="F51" s="75">
        <f t="shared" si="11"/>
        <v>1344982058</v>
      </c>
      <c r="G51" s="76">
        <f t="shared" si="11"/>
        <v>1168394256.78</v>
      </c>
      <c r="H51" s="77">
        <f t="shared" si="11"/>
        <v>176587801.21999997</v>
      </c>
      <c r="I51" s="78">
        <f t="shared" si="2"/>
        <v>0.86870620305330493</v>
      </c>
      <c r="M51" s="79"/>
      <c r="N51" s="232"/>
      <c r="P51" s="80"/>
      <c r="Q51" s="81"/>
    </row>
    <row r="52" spans="1:256" x14ac:dyDescent="0.25">
      <c r="B52" s="6" t="s">
        <v>17</v>
      </c>
      <c r="C52" s="56">
        <f t="shared" ref="C52:H52" si="12">SUM(C53:C63)</f>
        <v>299813633</v>
      </c>
      <c r="D52" s="56">
        <f t="shared" si="12"/>
        <v>0</v>
      </c>
      <c r="E52" s="56">
        <f t="shared" si="12"/>
        <v>0</v>
      </c>
      <c r="F52" s="57">
        <f t="shared" si="12"/>
        <v>299813633</v>
      </c>
      <c r="G52" s="58">
        <f t="shared" si="12"/>
        <v>252859385</v>
      </c>
      <c r="H52" s="59">
        <f t="shared" si="12"/>
        <v>46954248</v>
      </c>
      <c r="I52" s="53">
        <f t="shared" si="2"/>
        <v>0.84338854931256579</v>
      </c>
      <c r="M52" s="79"/>
      <c r="N52" s="232"/>
      <c r="P52" s="55"/>
    </row>
    <row r="53" spans="1:256" x14ac:dyDescent="0.25">
      <c r="B53" s="8" t="s">
        <v>18</v>
      </c>
      <c r="C53" s="54">
        <v>153430743</v>
      </c>
      <c r="D53" s="39"/>
      <c r="E53" s="54"/>
      <c r="F53" s="70">
        <f t="shared" ref="F53:F63" si="13">SUM(C53:E53)</f>
        <v>153430743</v>
      </c>
      <c r="G53" s="71">
        <f>+'[3]SISTEMAS DE INF '!I50+[3]ITPA!I81+'[3]PROMOCION AL CONSUMO'!I51</f>
        <v>124303126</v>
      </c>
      <c r="H53" s="72">
        <f t="shared" si="1"/>
        <v>29127617</v>
      </c>
      <c r="I53" s="43">
        <f t="shared" si="2"/>
        <v>0.81015788341714545</v>
      </c>
      <c r="M53" s="79"/>
      <c r="N53" s="232"/>
    </row>
    <row r="54" spans="1:256" x14ac:dyDescent="0.25">
      <c r="B54" s="8" t="s">
        <v>19</v>
      </c>
      <c r="C54" s="54">
        <f>+'[2]SISTEMAS DE INF '!V9+[2]ITPA!V9+'[2]PROMOCION AL CONSUMO'!V9</f>
        <v>6262301</v>
      </c>
      <c r="D54" s="39"/>
      <c r="E54" s="54"/>
      <c r="F54" s="70">
        <f t="shared" si="13"/>
        <v>6262301</v>
      </c>
      <c r="G54" s="71">
        <f>+'[3]SISTEMAS DE INF '!I55+[3]ITPA!I86+'[3]PROMOCION AL CONSUMO'!I56</f>
        <v>5069566</v>
      </c>
      <c r="H54" s="72">
        <f t="shared" si="1"/>
        <v>1192735</v>
      </c>
      <c r="I54" s="43">
        <f t="shared" si="2"/>
        <v>0.80953726114410662</v>
      </c>
      <c r="M54" s="79"/>
      <c r="N54" s="232"/>
    </row>
    <row r="55" spans="1:256" x14ac:dyDescent="0.25">
      <c r="B55" s="8" t="s">
        <v>20</v>
      </c>
      <c r="C55" s="54">
        <v>318847</v>
      </c>
      <c r="D55" s="39"/>
      <c r="E55" s="54"/>
      <c r="F55" s="70">
        <f t="shared" si="13"/>
        <v>318847</v>
      </c>
      <c r="G55" s="71">
        <f>+[3]ITPA!I91</f>
        <v>308562</v>
      </c>
      <c r="H55" s="72">
        <f t="shared" si="1"/>
        <v>10285</v>
      </c>
      <c r="I55" s="43">
        <f t="shared" si="2"/>
        <v>0.96774314953567075</v>
      </c>
      <c r="N55" s="232"/>
    </row>
    <row r="56" spans="1:256" x14ac:dyDescent="0.25">
      <c r="B56" s="8" t="s">
        <v>21</v>
      </c>
      <c r="C56" s="54">
        <f>+'[2]SISTEMAS DE INF '!V11+[2]ITPA!V11+'[2]PROMOCION AL CONSUMO'!V11</f>
        <v>12595463</v>
      </c>
      <c r="D56" s="39"/>
      <c r="E56" s="54"/>
      <c r="F56" s="70">
        <f t="shared" si="13"/>
        <v>12595463</v>
      </c>
      <c r="G56" s="71">
        <f>+'[3]SISTEMAS DE INF '!I63+[3]ITPA!I96+'[3]PROMOCION AL CONSUMO'!I64</f>
        <v>10164859</v>
      </c>
      <c r="H56" s="72">
        <f t="shared" si="1"/>
        <v>2430604</v>
      </c>
      <c r="I56" s="43">
        <f t="shared" si="2"/>
        <v>0.80702543447589026</v>
      </c>
      <c r="N56" s="232"/>
    </row>
    <row r="57" spans="1:256" x14ac:dyDescent="0.25">
      <c r="A57" s="22"/>
      <c r="B57" s="8" t="s">
        <v>22</v>
      </c>
      <c r="C57" s="60">
        <f>+'[2]MECANISMO DE DEFENSA'!N9+'[2]PREVALENCIA Verticillium-POD'!W7+'[2]MEJORAMIENTO GENETICO'!V8</f>
        <v>62411000</v>
      </c>
      <c r="D57" s="38"/>
      <c r="E57" s="60"/>
      <c r="F57" s="82">
        <f t="shared" si="13"/>
        <v>62411000</v>
      </c>
      <c r="G57" s="71">
        <f>+'[3]SISTEMAS DE INF '!I68+'[3]MECANISMO DE DEFENSA'!I15+[3]ITPA!I101+'[3]Verticillium-POD'!I32+'[3]MEJORAMIENTO GENETICO'!I34+'[3]PROMOCION AL CONSUMO'!I69</f>
        <v>60762817</v>
      </c>
      <c r="H57" s="83">
        <f t="shared" si="1"/>
        <v>1648183</v>
      </c>
      <c r="I57" s="48">
        <f t="shared" si="2"/>
        <v>0.97359146624793702</v>
      </c>
      <c r="N57" s="23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x14ac:dyDescent="0.25">
      <c r="B58" s="8" t="s">
        <v>23</v>
      </c>
      <c r="C58" s="54">
        <v>0</v>
      </c>
      <c r="D58" s="54"/>
      <c r="E58" s="54"/>
      <c r="F58" s="70">
        <f t="shared" si="13"/>
        <v>0</v>
      </c>
      <c r="G58" s="71">
        <f t="shared" ref="G58" si="14">+F58</f>
        <v>0</v>
      </c>
      <c r="H58" s="72">
        <f t="shared" si="1"/>
        <v>0</v>
      </c>
      <c r="I58" s="43" t="e">
        <f t="shared" si="2"/>
        <v>#DIV/0!</v>
      </c>
      <c r="N58" s="232"/>
    </row>
    <row r="59" spans="1:256" x14ac:dyDescent="0.25">
      <c r="B59" s="8" t="s">
        <v>24</v>
      </c>
      <c r="C59" s="54">
        <f>+'[2]SISTEMAS DE INF '!V12+[2]ITPA!V12+'[2]PROMOCION AL CONSUMO'!V12</f>
        <v>12551421</v>
      </c>
      <c r="D59" s="39"/>
      <c r="E59" s="54"/>
      <c r="F59" s="70">
        <f t="shared" si="13"/>
        <v>12551421</v>
      </c>
      <c r="G59" s="71">
        <f>+'[3]SISTEMAS DE INF '!I74+[3]ITPA!I107+'[3]PROMOCION AL CONSUMO'!I75</f>
        <v>10164855</v>
      </c>
      <c r="H59" s="72">
        <f t="shared" si="1"/>
        <v>2386566</v>
      </c>
      <c r="I59" s="43">
        <f t="shared" si="2"/>
        <v>0.80985690783537578</v>
      </c>
      <c r="N59" s="232"/>
    </row>
    <row r="60" spans="1:256" x14ac:dyDescent="0.25">
      <c r="B60" s="8" t="s">
        <v>25</v>
      </c>
      <c r="C60" s="54">
        <v>2391598</v>
      </c>
      <c r="D60" s="39"/>
      <c r="E60" s="54"/>
      <c r="F60" s="70">
        <f t="shared" si="13"/>
        <v>2391598</v>
      </c>
      <c r="G60" s="71">
        <f>+'[3]SISTEMAS DE INF '!I79+[3]ITPA!I112+'[3]PROMOCION AL CONSUMO'!I80</f>
        <v>1845696</v>
      </c>
      <c r="H60" s="72">
        <f t="shared" si="1"/>
        <v>545902</v>
      </c>
      <c r="I60" s="43">
        <f t="shared" si="2"/>
        <v>0.77174173920533462</v>
      </c>
      <c r="N60" s="232"/>
    </row>
    <row r="61" spans="1:256" x14ac:dyDescent="0.25">
      <c r="B61" s="8" t="s">
        <v>26</v>
      </c>
      <c r="C61" s="54">
        <f>+'[2]SISTEMAS DE INF '!V14+'[2]SISTEMAS DE INF '!V15+'[2]SISTEMAS DE INF '!V16+[2]ITPA!V14+[2]ITPA!V15+[2]ITPA!V16+'[2]PROMOCION AL CONSUMO'!V14+'[2]PROMOCION AL CONSUMO'!V15+'[2]PROMOCION AL CONSUMO'!V16</f>
        <v>34380660</v>
      </c>
      <c r="D61" s="39"/>
      <c r="E61" s="54"/>
      <c r="F61" s="70">
        <f t="shared" si="13"/>
        <v>34380660</v>
      </c>
      <c r="G61" s="71">
        <f>+'[3]SISTEMAS DE INF '!I84+'[3]SISTEMAS DE INF '!I89+'[3]SISTEMAS DE INF '!I94+[3]ITPA!I117+[3]ITPA!I122+[3]ITPA!I127+'[3]PROMOCION AL CONSUMO'!I85+'[3]PROMOCION AL CONSUMO'!I90+'[3]PROMOCION AL CONSUMO'!I95</f>
        <v>27520004</v>
      </c>
      <c r="H61" s="72">
        <f t="shared" si="1"/>
        <v>6860656</v>
      </c>
      <c r="I61" s="43">
        <f t="shared" si="2"/>
        <v>0.80045013679202204</v>
      </c>
      <c r="N61" s="232"/>
    </row>
    <row r="62" spans="1:256" x14ac:dyDescent="0.25">
      <c r="B62" s="8" t="s">
        <v>27</v>
      </c>
      <c r="C62" s="54">
        <f>+'[2]SISTEMAS DE INF '!V17+[2]ITPA!V17+'[2]PROMOCION AL CONSUMO'!V17</f>
        <v>6879600</v>
      </c>
      <c r="D62" s="39"/>
      <c r="E62" s="54"/>
      <c r="F62" s="70">
        <f t="shared" si="13"/>
        <v>6879600</v>
      </c>
      <c r="G62" s="71">
        <f>+'[3]SISTEMAS DE INF '!I99+[3]ITPA!I132+'[3]PROMOCION AL CONSUMO'!I100</f>
        <v>5652600</v>
      </c>
      <c r="H62" s="72">
        <f t="shared" si="1"/>
        <v>1227000</v>
      </c>
      <c r="I62" s="43">
        <f t="shared" si="2"/>
        <v>0.82164660736089312</v>
      </c>
      <c r="N62" s="232"/>
    </row>
    <row r="63" spans="1:256" x14ac:dyDescent="0.25">
      <c r="B63" s="8" t="s">
        <v>28</v>
      </c>
      <c r="C63" s="54">
        <f>+'[2]SISTEMAS DE INF '!V18+'[2]SISTEMAS DE INF '!V19+[2]ITPA!V18+[2]ITPA!V19+'[2]PROMOCION AL CONSUMO'!V18+'[2]PROMOCION AL CONSUMO'!V19</f>
        <v>8592000</v>
      </c>
      <c r="D63" s="39"/>
      <c r="E63" s="54"/>
      <c r="F63" s="70">
        <f t="shared" si="13"/>
        <v>8592000</v>
      </c>
      <c r="G63" s="71">
        <f>+'[3]SISTEMAS DE INF '!I104+'[3]SISTEMAS DE INF '!I109+[3]ITPA!I142+[3]ITPA!I137+'[3]PROMOCION AL CONSUMO'!I110+'[3]PROMOCION AL CONSUMO'!I105</f>
        <v>7067300</v>
      </c>
      <c r="H63" s="72">
        <f t="shared" si="1"/>
        <v>1524700</v>
      </c>
      <c r="I63" s="43">
        <f t="shared" si="2"/>
        <v>0.82254422718808196</v>
      </c>
      <c r="N63" s="232"/>
    </row>
    <row r="64" spans="1:256" x14ac:dyDescent="0.25">
      <c r="B64" s="6" t="s">
        <v>29</v>
      </c>
      <c r="C64" s="56">
        <f t="shared" ref="C64:H64" si="15">SUM(C65:C81)</f>
        <v>110016771</v>
      </c>
      <c r="D64" s="56">
        <f t="shared" si="15"/>
        <v>0</v>
      </c>
      <c r="E64" s="56">
        <f t="shared" si="15"/>
        <v>0</v>
      </c>
      <c r="F64" s="57">
        <f t="shared" si="15"/>
        <v>110016771</v>
      </c>
      <c r="G64" s="58">
        <f t="shared" si="15"/>
        <v>45900450.700000003</v>
      </c>
      <c r="H64" s="59">
        <f t="shared" si="15"/>
        <v>64116320.299999997</v>
      </c>
      <c r="I64" s="53">
        <f t="shared" si="2"/>
        <v>0.41721321470160222</v>
      </c>
      <c r="N64" s="232"/>
      <c r="P64" s="55"/>
    </row>
    <row r="65" spans="1:256" x14ac:dyDescent="0.25">
      <c r="B65" s="11" t="s">
        <v>64</v>
      </c>
      <c r="C65" s="60">
        <f>+'[2]SISTEMAS DE INF '!V21+[2]ITPA!V40+'[2]PROMOCION AL CONSUMO'!V21</f>
        <v>895000</v>
      </c>
      <c r="D65" s="38"/>
      <c r="E65" s="60"/>
      <c r="F65" s="45">
        <f t="shared" ref="F65:F81" si="16">SUM(C65:E65)</f>
        <v>895000</v>
      </c>
      <c r="G65" s="46">
        <f>+'[3]SISTEMAS DE INF '!I115+[3]ITPA!I193+'[3]PROMOCION AL CONSUMO'!I116</f>
        <v>230531</v>
      </c>
      <c r="H65" s="47">
        <f t="shared" si="1"/>
        <v>664469</v>
      </c>
      <c r="I65" s="61">
        <f t="shared" si="2"/>
        <v>0.25757653631284916</v>
      </c>
      <c r="N65" s="232"/>
    </row>
    <row r="66" spans="1:256" x14ac:dyDescent="0.25">
      <c r="B66" s="11" t="s">
        <v>69</v>
      </c>
      <c r="C66" s="54">
        <f>+[2]ITPA!V48+'[2]MEJORAMIENTO GENETICO'!V15</f>
        <v>25000000</v>
      </c>
      <c r="D66" s="39"/>
      <c r="E66" s="54"/>
      <c r="F66" s="40">
        <f t="shared" si="16"/>
        <v>25000000</v>
      </c>
      <c r="G66" s="41">
        <f>+[3]ITPA!I202+'[3]MEJORAMIENTO GENETICO'!I53</f>
        <v>9102350</v>
      </c>
      <c r="H66" s="42">
        <f t="shared" si="1"/>
        <v>15897650</v>
      </c>
      <c r="I66" s="61">
        <f t="shared" si="2"/>
        <v>0.36409399999999997</v>
      </c>
      <c r="N66" s="232"/>
    </row>
    <row r="67" spans="1:256" x14ac:dyDescent="0.25">
      <c r="B67" s="11" t="s">
        <v>30</v>
      </c>
      <c r="C67" s="54">
        <v>0</v>
      </c>
      <c r="D67" s="39"/>
      <c r="E67" s="54"/>
      <c r="F67" s="40">
        <f t="shared" si="16"/>
        <v>0</v>
      </c>
      <c r="G67" s="41"/>
      <c r="H67" s="42">
        <f t="shared" si="1"/>
        <v>0</v>
      </c>
      <c r="I67" s="43" t="e">
        <f t="shared" si="2"/>
        <v>#DIV/0!</v>
      </c>
      <c r="N67" s="232"/>
    </row>
    <row r="68" spans="1:256" x14ac:dyDescent="0.25">
      <c r="B68" s="11" t="s">
        <v>31</v>
      </c>
      <c r="C68" s="54">
        <f>+[2]ITPA!V50</f>
        <v>2387500</v>
      </c>
      <c r="D68" s="39"/>
      <c r="E68" s="54"/>
      <c r="F68" s="40">
        <f t="shared" si="16"/>
        <v>2387500</v>
      </c>
      <c r="G68" s="41">
        <f>+[3]ITPA!I206</f>
        <v>2080399</v>
      </c>
      <c r="H68" s="42">
        <f t="shared" si="1"/>
        <v>307101</v>
      </c>
      <c r="I68" s="43">
        <f t="shared" si="2"/>
        <v>0.87137130890052361</v>
      </c>
      <c r="N68" s="232"/>
    </row>
    <row r="69" spans="1:256" x14ac:dyDescent="0.25">
      <c r="B69" s="11" t="s">
        <v>32</v>
      </c>
      <c r="C69" s="54">
        <f>+[2]ITPA!V61</f>
        <v>1090000</v>
      </c>
      <c r="D69" s="39"/>
      <c r="E69" s="54"/>
      <c r="F69" s="40">
        <f t="shared" si="16"/>
        <v>1090000</v>
      </c>
      <c r="G69" s="41">
        <f>+[3]ITPA!I230</f>
        <v>1090000</v>
      </c>
      <c r="H69" s="42">
        <f t="shared" si="1"/>
        <v>0</v>
      </c>
      <c r="I69" s="43">
        <f t="shared" si="2"/>
        <v>1</v>
      </c>
      <c r="N69" s="232"/>
    </row>
    <row r="70" spans="1:256" x14ac:dyDescent="0.25">
      <c r="B70" s="11" t="s">
        <v>33</v>
      </c>
      <c r="C70" s="54">
        <f>+'[2]SISTEMAS DE INF '!V33+[2]ITPA!V56+'[2]PREVALENCIA Verticillium-POD'!W11+'[2]MEJORAMIENTO GENETICO'!V11+'[2]PROMOCION AL CONSUMO'!Y27</f>
        <v>35480796</v>
      </c>
      <c r="D70" s="39"/>
      <c r="E70" s="54"/>
      <c r="F70" s="40">
        <f t="shared" si="16"/>
        <v>35480796</v>
      </c>
      <c r="G70" s="41">
        <f>+'[3]SISTEMAS DE INF '!I128+[3]ITPA!I211+'[3]Verticillium-POD'!I51+'[3]MEJORAMIENTO GENETICO'!I48+'[3]PROMOCION AL CONSUMO'!I120</f>
        <v>22979232</v>
      </c>
      <c r="H70" s="42">
        <f t="shared" si="1"/>
        <v>12501564</v>
      </c>
      <c r="I70" s="61">
        <f t="shared" si="2"/>
        <v>0.64765266258400744</v>
      </c>
      <c r="N70" s="232"/>
    </row>
    <row r="71" spans="1:256" x14ac:dyDescent="0.25">
      <c r="B71" s="11" t="s">
        <v>34</v>
      </c>
      <c r="C71" s="54">
        <f>+'[2]SISTEMAS DE INF '!V38+'[2]SISTEMAS DE INF '!V40+[2]ITPA!V26+[2]ITPA!V31+'[2]MEJORAMIENTO GENETICO'!V13+'[2]PROMOCION AL CONSUMO'!V30</f>
        <v>13970000</v>
      </c>
      <c r="D71" s="39"/>
      <c r="E71" s="54"/>
      <c r="F71" s="40">
        <f t="shared" si="16"/>
        <v>13970000</v>
      </c>
      <c r="G71" s="41">
        <f>+[3]ITPA!I148+[3]ITPA!I151+'[3]MEJORAMIENTO GENETICO'!I59+'[3]PROMOCION AL CONSUMO'!I127</f>
        <v>1635390</v>
      </c>
      <c r="H71" s="42">
        <f t="shared" si="1"/>
        <v>12334610</v>
      </c>
      <c r="I71" s="61">
        <f>+G71/F71</f>
        <v>0.11706442376521117</v>
      </c>
      <c r="M71" s="84"/>
      <c r="N71" s="232"/>
    </row>
    <row r="72" spans="1:256" x14ac:dyDescent="0.25">
      <c r="B72" s="11" t="s">
        <v>35</v>
      </c>
      <c r="C72" s="54">
        <f>+'[2]SISTEMAS DE INF '!V36+[2]ITPA!V65</f>
        <v>24152000</v>
      </c>
      <c r="D72" s="39"/>
      <c r="E72" s="54"/>
      <c r="F72" s="40">
        <f t="shared" si="16"/>
        <v>24152000</v>
      </c>
      <c r="G72" s="41">
        <f>+'[3]SISTEMAS DE INF '!I139+[3]ITPA!I246</f>
        <v>3950000</v>
      </c>
      <c r="H72" s="42">
        <f t="shared" si="1"/>
        <v>20202000</v>
      </c>
      <c r="I72" s="61">
        <f t="shared" si="2"/>
        <v>0.16354753229546207</v>
      </c>
      <c r="N72" s="232"/>
    </row>
    <row r="73" spans="1:256" x14ac:dyDescent="0.25">
      <c r="B73" s="11" t="s">
        <v>36</v>
      </c>
      <c r="C73" s="54">
        <f>+'[2]SISTEMAS DE INF '!V29+[2]ITPA!V62+'[2]PREVALENCIA Verticillium-POD'!W16+'[2]MEJORAMIENTO GENETICO'!V22+'[2]PROMOCION AL CONSUMO'!V32</f>
        <v>2380000</v>
      </c>
      <c r="D73" s="39"/>
      <c r="E73" s="54"/>
      <c r="F73" s="40">
        <f t="shared" si="16"/>
        <v>2380000</v>
      </c>
      <c r="G73" s="41">
        <f>+'[3]SISTEMAS DE INF '!I119+[3]ITPA!I235+'[3]Verticillium-POD'!I48+'[3]MEJORAMIENTO GENETICO'!I44+'[3]PROMOCION AL CONSUMO'!I130</f>
        <v>1351880.7</v>
      </c>
      <c r="H73" s="42">
        <f t="shared" si="1"/>
        <v>1028119.3</v>
      </c>
      <c r="I73" s="61">
        <f t="shared" si="2"/>
        <v>0.56801710084033608</v>
      </c>
      <c r="N73" s="232"/>
    </row>
    <row r="74" spans="1:256" x14ac:dyDescent="0.25">
      <c r="B74" s="11" t="s">
        <v>65</v>
      </c>
      <c r="C74" s="54">
        <f>+[2]ITPA!V53</f>
        <v>603362</v>
      </c>
      <c r="D74" s="39"/>
      <c r="E74" s="54"/>
      <c r="F74" s="40">
        <f t="shared" si="16"/>
        <v>603362</v>
      </c>
      <c r="G74" s="41">
        <f>+[3]ITPA!I197</f>
        <v>572666</v>
      </c>
      <c r="H74" s="42">
        <f t="shared" si="1"/>
        <v>30696</v>
      </c>
      <c r="I74" s="43">
        <f t="shared" si="2"/>
        <v>0.94912506919560724</v>
      </c>
      <c r="N74" s="232"/>
    </row>
    <row r="75" spans="1:256" x14ac:dyDescent="0.25">
      <c r="B75" s="11" t="s">
        <v>37</v>
      </c>
      <c r="C75" s="54">
        <f>+'[2]SISTEMAS DE INF '!V44+[2]ITPA!V67+'[2]PREVALENCIA Verticillium-POD'!W13+'[2]MEJORAMIENTO GENETICO'!V20+'[2]PROMOCION AL CONSUMO'!V36</f>
        <v>4058113</v>
      </c>
      <c r="D75" s="39"/>
      <c r="E75" s="54"/>
      <c r="F75" s="40">
        <f t="shared" si="16"/>
        <v>4058113</v>
      </c>
      <c r="G75" s="41">
        <f>+'[3]SISTEMAS DE INF '!I142+[3]ITPA!I249+'[3]Verticillium-POD'!I57+'[3]MEJORAMIENTO GENETICO'!I63+'[3]PROMOCION AL CONSUMO'!I136</f>
        <v>2908002</v>
      </c>
      <c r="H75" s="42">
        <f t="shared" si="1"/>
        <v>1150111</v>
      </c>
      <c r="I75" s="43">
        <f t="shared" si="2"/>
        <v>0.7165897056094791</v>
      </c>
      <c r="N75" s="232"/>
    </row>
    <row r="76" spans="1:256" x14ac:dyDescent="0.25">
      <c r="B76" s="11" t="s">
        <v>38</v>
      </c>
      <c r="C76" s="54">
        <v>0</v>
      </c>
      <c r="D76" s="39"/>
      <c r="E76" s="54"/>
      <c r="F76" s="40">
        <f t="shared" si="16"/>
        <v>0</v>
      </c>
      <c r="G76" s="41"/>
      <c r="H76" s="42">
        <f t="shared" ref="H76:H101" si="17">+F76-G76</f>
        <v>0</v>
      </c>
      <c r="I76" s="43" t="e">
        <f t="shared" ref="I76:I102" si="18">+G76/F76</f>
        <v>#DIV/0!</v>
      </c>
      <c r="N76" s="232"/>
    </row>
    <row r="77" spans="1:256" x14ac:dyDescent="0.25">
      <c r="B77" s="11" t="s">
        <v>39</v>
      </c>
      <c r="C77" s="54">
        <v>0</v>
      </c>
      <c r="D77" s="39"/>
      <c r="E77" s="54"/>
      <c r="F77" s="40">
        <f t="shared" si="16"/>
        <v>0</v>
      </c>
      <c r="G77" s="41"/>
      <c r="H77" s="42">
        <f t="shared" si="17"/>
        <v>0</v>
      </c>
      <c r="I77" s="43" t="e">
        <f t="shared" si="18"/>
        <v>#DIV/0!</v>
      </c>
      <c r="N77" s="232"/>
    </row>
    <row r="78" spans="1:256" x14ac:dyDescent="0.25">
      <c r="B78" s="11" t="s">
        <v>43</v>
      </c>
      <c r="C78" s="85">
        <v>0</v>
      </c>
      <c r="D78" s="39"/>
      <c r="E78" s="54"/>
      <c r="F78" s="40">
        <f t="shared" si="16"/>
        <v>0</v>
      </c>
      <c r="G78" s="41"/>
      <c r="H78" s="42">
        <f t="shared" si="17"/>
        <v>0</v>
      </c>
      <c r="I78" s="43" t="e">
        <f t="shared" si="18"/>
        <v>#DIV/0!</v>
      </c>
      <c r="N78" s="232"/>
    </row>
    <row r="79" spans="1:256" x14ac:dyDescent="0.25">
      <c r="A79" s="22"/>
      <c r="B79" s="8" t="s">
        <v>66</v>
      </c>
      <c r="C79" s="60">
        <v>0</v>
      </c>
      <c r="D79" s="38"/>
      <c r="E79" s="60"/>
      <c r="F79" s="45">
        <f t="shared" si="16"/>
        <v>0</v>
      </c>
      <c r="G79" s="46"/>
      <c r="H79" s="47">
        <f t="shared" si="17"/>
        <v>0</v>
      </c>
      <c r="I79" s="48" t="e">
        <f t="shared" si="18"/>
        <v>#DIV/0!</v>
      </c>
      <c r="N79" s="23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x14ac:dyDescent="0.25">
      <c r="B80" s="11" t="s">
        <v>40</v>
      </c>
      <c r="C80" s="54">
        <v>0</v>
      </c>
      <c r="D80" s="54"/>
      <c r="E80" s="54"/>
      <c r="F80" s="40">
        <f t="shared" si="16"/>
        <v>0</v>
      </c>
      <c r="G80" s="41"/>
      <c r="H80" s="42">
        <f t="shared" si="17"/>
        <v>0</v>
      </c>
      <c r="I80" s="43" t="e">
        <f t="shared" si="18"/>
        <v>#DIV/0!</v>
      </c>
      <c r="N80" s="232"/>
    </row>
    <row r="81" spans="2:14" x14ac:dyDescent="0.25">
      <c r="B81" s="11" t="s">
        <v>41</v>
      </c>
      <c r="C81" s="54">
        <v>0</v>
      </c>
      <c r="D81" s="54"/>
      <c r="E81" s="54"/>
      <c r="F81" s="40">
        <f t="shared" si="16"/>
        <v>0</v>
      </c>
      <c r="G81" s="41"/>
      <c r="H81" s="42">
        <f t="shared" si="17"/>
        <v>0</v>
      </c>
      <c r="I81" s="43" t="e">
        <f t="shared" si="18"/>
        <v>#DIV/0!</v>
      </c>
      <c r="N81" s="232"/>
    </row>
    <row r="82" spans="2:14" x14ac:dyDescent="0.25">
      <c r="B82" s="6" t="s">
        <v>44</v>
      </c>
      <c r="C82" s="56">
        <f t="shared" ref="C82:H82" si="19">+C83+C96+C100</f>
        <v>935151654</v>
      </c>
      <c r="D82" s="56">
        <f t="shared" si="19"/>
        <v>0</v>
      </c>
      <c r="E82" s="56">
        <f t="shared" si="19"/>
        <v>0</v>
      </c>
      <c r="F82" s="57">
        <f t="shared" si="19"/>
        <v>935151654</v>
      </c>
      <c r="G82" s="58">
        <f t="shared" si="19"/>
        <v>869634421.08000004</v>
      </c>
      <c r="H82" s="59">
        <f t="shared" si="19"/>
        <v>65517232.919999957</v>
      </c>
      <c r="I82" s="53">
        <f t="shared" si="18"/>
        <v>0.92993945672901523</v>
      </c>
      <c r="N82" s="232"/>
    </row>
    <row r="83" spans="2:14" x14ac:dyDescent="0.25">
      <c r="B83" s="12" t="s">
        <v>45</v>
      </c>
      <c r="C83" s="56">
        <f t="shared" ref="C83:H83" si="20">SUM(C84:C95)</f>
        <v>90004000</v>
      </c>
      <c r="D83" s="56">
        <f t="shared" si="20"/>
        <v>0</v>
      </c>
      <c r="E83" s="56">
        <f t="shared" si="20"/>
        <v>0</v>
      </c>
      <c r="F83" s="57">
        <f t="shared" si="20"/>
        <v>90004000</v>
      </c>
      <c r="G83" s="58">
        <f t="shared" si="20"/>
        <v>24567023</v>
      </c>
      <c r="H83" s="59">
        <f t="shared" si="20"/>
        <v>65436977</v>
      </c>
      <c r="I83" s="53">
        <f t="shared" si="18"/>
        <v>0.27295479089818231</v>
      </c>
      <c r="N83" s="232"/>
    </row>
    <row r="84" spans="2:14" x14ac:dyDescent="0.25">
      <c r="B84" s="7" t="s">
        <v>70</v>
      </c>
      <c r="C84" s="85">
        <f>+[2]ITPA!V70</f>
        <v>0</v>
      </c>
      <c r="D84" s="85"/>
      <c r="E84" s="85"/>
      <c r="F84" s="40">
        <f t="shared" ref="F84:F90" si="21">SUM(C84:E84)</f>
        <v>0</v>
      </c>
      <c r="G84" s="41"/>
      <c r="H84" s="42">
        <f t="shared" si="17"/>
        <v>0</v>
      </c>
      <c r="I84" s="43" t="e">
        <f t="shared" si="18"/>
        <v>#DIV/0!</v>
      </c>
      <c r="N84" s="232"/>
    </row>
    <row r="85" spans="2:14" x14ac:dyDescent="0.25">
      <c r="B85" s="7" t="s">
        <v>71</v>
      </c>
      <c r="C85" s="54">
        <f>+'[2]PREVALENCIA Verticillium-POD'!W24</f>
        <v>5400000</v>
      </c>
      <c r="D85" s="54"/>
      <c r="E85" s="54"/>
      <c r="F85" s="40">
        <f t="shared" si="21"/>
        <v>5400000</v>
      </c>
      <c r="G85" s="41">
        <f>+[3]ITPA!I258+'[3]Verticillium-POD'!I89+'[3]MEJORAMIENTO GENETICO'!N93</f>
        <v>0</v>
      </c>
      <c r="H85" s="42">
        <f t="shared" si="17"/>
        <v>5400000</v>
      </c>
      <c r="I85" s="61">
        <f t="shared" si="18"/>
        <v>0</v>
      </c>
      <c r="N85" s="232"/>
    </row>
    <row r="86" spans="2:14" x14ac:dyDescent="0.25">
      <c r="B86" s="7" t="s">
        <v>72</v>
      </c>
      <c r="C86" s="54">
        <f>+'[2]PREVALENCIA Verticillium-POD'!W25</f>
        <v>3000000</v>
      </c>
      <c r="D86" s="54"/>
      <c r="E86" s="54"/>
      <c r="F86" s="40">
        <f t="shared" si="21"/>
        <v>3000000</v>
      </c>
      <c r="G86" s="41">
        <f>+[3]ITPA!I268+'[3]Verticillium-POD'!I95+'[3]MEJORAMIENTO GENETICO'!H88</f>
        <v>0</v>
      </c>
      <c r="H86" s="42">
        <f t="shared" si="17"/>
        <v>3000000</v>
      </c>
      <c r="I86" s="61">
        <f t="shared" si="18"/>
        <v>0</v>
      </c>
      <c r="N86" s="232"/>
    </row>
    <row r="87" spans="2:14" x14ac:dyDescent="0.25">
      <c r="B87" s="7" t="s">
        <v>73</v>
      </c>
      <c r="C87" s="54">
        <f>+'[2]PREVALENCIA Verticillium-POD'!W22</f>
        <v>17500000</v>
      </c>
      <c r="D87" s="54"/>
      <c r="E87" s="54"/>
      <c r="F87" s="40">
        <f t="shared" si="21"/>
        <v>17500000</v>
      </c>
      <c r="G87" s="41">
        <f>+[3]ITPA!I264+'[3]Verticillium-POD'!I76+'[3]MEJORAMIENTO GENETICO'!I89</f>
        <v>17482500</v>
      </c>
      <c r="H87" s="42">
        <f t="shared" si="17"/>
        <v>17500</v>
      </c>
      <c r="I87" s="43">
        <f t="shared" si="18"/>
        <v>0.999</v>
      </c>
      <c r="N87" s="232"/>
    </row>
    <row r="88" spans="2:14" x14ac:dyDescent="0.25">
      <c r="B88" s="7" t="s">
        <v>74</v>
      </c>
      <c r="C88" s="54">
        <f>+[2]ITPA!V75</f>
        <v>4304000</v>
      </c>
      <c r="D88" s="54"/>
      <c r="E88" s="54"/>
      <c r="F88" s="40">
        <f t="shared" si="21"/>
        <v>4304000</v>
      </c>
      <c r="G88" s="41">
        <f>+[3]ITPA!I264</f>
        <v>0</v>
      </c>
      <c r="H88" s="42">
        <f t="shared" si="17"/>
        <v>4304000</v>
      </c>
      <c r="I88" s="61">
        <f t="shared" si="18"/>
        <v>0</v>
      </c>
      <c r="N88" s="232"/>
    </row>
    <row r="89" spans="2:14" x14ac:dyDescent="0.25">
      <c r="B89" s="7" t="s">
        <v>75</v>
      </c>
      <c r="C89" s="54">
        <f>+'[2]PREVALENCIA Verticillium-POD'!W20</f>
        <v>6000000</v>
      </c>
      <c r="D89" s="54"/>
      <c r="E89" s="54"/>
      <c r="F89" s="40">
        <f t="shared" si="21"/>
        <v>6000000</v>
      </c>
      <c r="G89" s="41">
        <f>+'[3]Verticillium-POD'!I64+'[3]MEJORAMIENTO GENETICO'!I88</f>
        <v>4151246</v>
      </c>
      <c r="H89" s="42">
        <f t="shared" si="17"/>
        <v>1848754</v>
      </c>
      <c r="I89" s="61">
        <f t="shared" si="18"/>
        <v>0.69187433333333337</v>
      </c>
      <c r="N89" s="232"/>
    </row>
    <row r="90" spans="2:14" x14ac:dyDescent="0.25">
      <c r="B90" s="7" t="s">
        <v>76</v>
      </c>
      <c r="C90" s="54">
        <f>+'[2]PREVALENCIA Verticillium-POD'!W23</f>
        <v>21000000</v>
      </c>
      <c r="D90" s="54"/>
      <c r="E90" s="54"/>
      <c r="F90" s="40">
        <f t="shared" si="21"/>
        <v>21000000</v>
      </c>
      <c r="G90" s="41">
        <f>+'[3]Verticillium-POD'!I82+'[3]MEJORAMIENTO GENETICO'!I88</f>
        <v>221436</v>
      </c>
      <c r="H90" s="42">
        <f t="shared" si="17"/>
        <v>20778564</v>
      </c>
      <c r="I90" s="61">
        <f t="shared" si="18"/>
        <v>1.0544571428571429E-2</v>
      </c>
      <c r="N90" s="232"/>
    </row>
    <row r="91" spans="2:14" x14ac:dyDescent="0.25">
      <c r="B91" s="7" t="s">
        <v>77</v>
      </c>
      <c r="C91" s="54">
        <f>+'[2]PREVALENCIA Verticillium-POD'!W21</f>
        <v>6000000</v>
      </c>
      <c r="D91" s="54"/>
      <c r="E91" s="54"/>
      <c r="F91" s="40">
        <f>SUM(C91:E91)</f>
        <v>6000000</v>
      </c>
      <c r="G91" s="41">
        <f>+'[3]Verticillium-POD'!I70+'[3]MEJORAMIENTO GENETICO'!I88</f>
        <v>0</v>
      </c>
      <c r="H91" s="42">
        <f t="shared" si="17"/>
        <v>6000000</v>
      </c>
      <c r="I91" s="61">
        <f t="shared" si="18"/>
        <v>0</v>
      </c>
      <c r="N91" s="232"/>
    </row>
    <row r="92" spans="2:14" x14ac:dyDescent="0.25">
      <c r="B92" s="7" t="s">
        <v>78</v>
      </c>
      <c r="C92" s="54">
        <f>+'[2]MEJORAMIENTO GENETICO'!V28</f>
        <v>5000000</v>
      </c>
      <c r="D92" s="54"/>
      <c r="E92" s="54"/>
      <c r="F92" s="40">
        <f>SUM(C92:E92)</f>
        <v>5000000</v>
      </c>
      <c r="G92" s="41">
        <f>+[3]ITPA!I261+'[3]Verticillium-POD'!I101+'[3]MEJORAMIENTO GENETICO'!I81</f>
        <v>2711841</v>
      </c>
      <c r="H92" s="42">
        <f t="shared" si="17"/>
        <v>2288159</v>
      </c>
      <c r="I92" s="61">
        <f t="shared" si="18"/>
        <v>0.54236819999999997</v>
      </c>
      <c r="N92" s="232"/>
    </row>
    <row r="93" spans="2:14" x14ac:dyDescent="0.25">
      <c r="B93" s="7" t="s">
        <v>79</v>
      </c>
      <c r="C93" s="54"/>
      <c r="D93" s="54"/>
      <c r="E93" s="54"/>
      <c r="F93" s="40">
        <f>SUM(C93:E93)</f>
        <v>0</v>
      </c>
      <c r="G93" s="41"/>
      <c r="H93" s="42">
        <f t="shared" si="17"/>
        <v>0</v>
      </c>
      <c r="I93" s="43" t="e">
        <f t="shared" si="18"/>
        <v>#DIV/0!</v>
      </c>
      <c r="N93" s="232"/>
    </row>
    <row r="94" spans="2:14" x14ac:dyDescent="0.25">
      <c r="B94" s="7" t="s">
        <v>80</v>
      </c>
      <c r="C94" s="54"/>
      <c r="D94" s="54"/>
      <c r="E94" s="54"/>
      <c r="F94" s="40">
        <f>SUM(C94:E94)</f>
        <v>0</v>
      </c>
      <c r="G94" s="41"/>
      <c r="H94" s="42">
        <f t="shared" si="17"/>
        <v>0</v>
      </c>
      <c r="I94" s="43" t="e">
        <f t="shared" si="18"/>
        <v>#DIV/0!</v>
      </c>
      <c r="N94" s="232"/>
    </row>
    <row r="95" spans="2:14" x14ac:dyDescent="0.25">
      <c r="B95" s="7" t="s">
        <v>81</v>
      </c>
      <c r="C95" s="54">
        <f>+'[2]MEJORAMIENTO GENETICO'!V27</f>
        <v>21800000</v>
      </c>
      <c r="D95" s="54"/>
      <c r="E95" s="54"/>
      <c r="F95" s="40">
        <f>SUM(C95:E95)</f>
        <v>21800000</v>
      </c>
      <c r="G95" s="41">
        <v>0</v>
      </c>
      <c r="H95" s="42">
        <f t="shared" si="17"/>
        <v>21800000</v>
      </c>
      <c r="I95" s="61">
        <f t="shared" si="18"/>
        <v>0</v>
      </c>
      <c r="N95" s="232"/>
    </row>
    <row r="96" spans="2:14" x14ac:dyDescent="0.25">
      <c r="B96" s="12" t="s">
        <v>82</v>
      </c>
      <c r="C96" s="56">
        <f>SUM(C97:C99)</f>
        <v>845147654</v>
      </c>
      <c r="D96" s="56">
        <f>SUM(D97:D99)</f>
        <v>0</v>
      </c>
      <c r="E96" s="56">
        <f>SUM(E97:E99)</f>
        <v>0</v>
      </c>
      <c r="F96" s="57">
        <f>SUM(F97:F99)</f>
        <v>845147654</v>
      </c>
      <c r="G96" s="58">
        <f>SUM(G97:G99)</f>
        <v>845067398.08000004</v>
      </c>
      <c r="H96" s="59">
        <f t="shared" si="17"/>
        <v>80255.919999957085</v>
      </c>
      <c r="I96" s="53">
        <f t="shared" si="18"/>
        <v>0.99990503917319051</v>
      </c>
      <c r="N96" s="232"/>
    </row>
    <row r="97" spans="1:256" x14ac:dyDescent="0.25">
      <c r="B97" s="7" t="s">
        <v>83</v>
      </c>
      <c r="C97" s="54">
        <f>+'[2]PROMOCION AL CONSUMO'!V39</f>
        <v>736797654</v>
      </c>
      <c r="D97" s="54"/>
      <c r="E97" s="54"/>
      <c r="F97" s="40">
        <f>SUM(C97:E97)</f>
        <v>736797654</v>
      </c>
      <c r="G97" s="41">
        <f>+'[3]PROMOCION AL CONSUMO'!I140</f>
        <v>736717398.08000004</v>
      </c>
      <c r="H97" s="42">
        <f t="shared" si="17"/>
        <v>80255.919999957085</v>
      </c>
      <c r="I97" s="43">
        <f t="shared" si="18"/>
        <v>0.99989107468032201</v>
      </c>
      <c r="N97" s="232"/>
    </row>
    <row r="98" spans="1:256" x14ac:dyDescent="0.25">
      <c r="B98" s="7" t="s">
        <v>84</v>
      </c>
      <c r="C98" s="54">
        <v>0</v>
      </c>
      <c r="D98" s="54"/>
      <c r="E98" s="54"/>
      <c r="F98" s="40">
        <f>SUM(C98:E98)</f>
        <v>0</v>
      </c>
      <c r="G98" s="41"/>
      <c r="H98" s="42">
        <f t="shared" si="17"/>
        <v>0</v>
      </c>
      <c r="I98" s="43" t="e">
        <f t="shared" si="18"/>
        <v>#DIV/0!</v>
      </c>
      <c r="N98" s="232"/>
    </row>
    <row r="99" spans="1:256" x14ac:dyDescent="0.25">
      <c r="B99" s="7" t="s">
        <v>85</v>
      </c>
      <c r="C99" s="54">
        <f>+'[2]PROMOCION AL CONSUMO'!V44</f>
        <v>108350000</v>
      </c>
      <c r="D99" s="54"/>
      <c r="E99" s="54"/>
      <c r="F99" s="40">
        <f>SUM(C99:E99)</f>
        <v>108350000</v>
      </c>
      <c r="G99" s="41">
        <f>+'[3]PROMOCION AL CONSUMO'!I167</f>
        <v>108350000</v>
      </c>
      <c r="H99" s="42">
        <f t="shared" si="17"/>
        <v>0</v>
      </c>
      <c r="I99" s="43">
        <f>+G99/F99</f>
        <v>1</v>
      </c>
      <c r="N99" s="232"/>
    </row>
    <row r="100" spans="1:256" x14ac:dyDescent="0.25">
      <c r="B100" s="12" t="s">
        <v>86</v>
      </c>
      <c r="C100" s="56">
        <f>+C101</f>
        <v>0</v>
      </c>
      <c r="D100" s="56"/>
      <c r="E100" s="56">
        <f>+E101</f>
        <v>0</v>
      </c>
      <c r="F100" s="57">
        <f>+F101</f>
        <v>0</v>
      </c>
      <c r="G100" s="58">
        <f>+G101</f>
        <v>0</v>
      </c>
      <c r="H100" s="59">
        <f t="shared" si="17"/>
        <v>0</v>
      </c>
      <c r="I100" s="53" t="e">
        <f t="shared" si="18"/>
        <v>#DIV/0!</v>
      </c>
      <c r="N100" s="232"/>
    </row>
    <row r="101" spans="1:256" ht="16.5" thickBot="1" x14ac:dyDescent="0.3">
      <c r="B101" s="7" t="s">
        <v>87</v>
      </c>
      <c r="C101" s="85">
        <v>0</v>
      </c>
      <c r="D101" s="85"/>
      <c r="E101" s="85"/>
      <c r="F101" s="40">
        <f>SUM(C101:E101)</f>
        <v>0</v>
      </c>
      <c r="G101" s="41">
        <f>SUM(C101:E101)</f>
        <v>0</v>
      </c>
      <c r="H101" s="42">
        <f t="shared" si="17"/>
        <v>0</v>
      </c>
      <c r="I101" s="43" t="e">
        <f t="shared" si="18"/>
        <v>#DIV/0!</v>
      </c>
      <c r="N101" s="232"/>
    </row>
    <row r="102" spans="1:256" x14ac:dyDescent="0.25">
      <c r="B102" s="86" t="s">
        <v>88</v>
      </c>
      <c r="C102" s="87">
        <f t="shared" ref="C102:H102" si="22">+C51+C20+C49</f>
        <v>1819021942.0999999</v>
      </c>
      <c r="D102" s="87">
        <f t="shared" si="22"/>
        <v>0</v>
      </c>
      <c r="E102" s="87">
        <f t="shared" si="22"/>
        <v>0</v>
      </c>
      <c r="F102" s="88">
        <f t="shared" si="22"/>
        <v>1819021942.0999999</v>
      </c>
      <c r="G102" s="89">
        <f>+G51+G20+G49</f>
        <v>1534275973.3499999</v>
      </c>
      <c r="H102" s="90">
        <f t="shared" si="22"/>
        <v>284745968.75</v>
      </c>
      <c r="I102" s="37">
        <f t="shared" si="18"/>
        <v>0.84346204838998795</v>
      </c>
      <c r="N102" s="232"/>
    </row>
    <row r="103" spans="1:256" x14ac:dyDescent="0.25">
      <c r="B103" s="13" t="s">
        <v>47</v>
      </c>
      <c r="C103" s="56">
        <f t="shared" ref="C103:H103" si="23">+C18-C102</f>
        <v>72753730.900000095</v>
      </c>
      <c r="D103" s="56">
        <f t="shared" si="23"/>
        <v>0</v>
      </c>
      <c r="E103" s="56">
        <f t="shared" si="23"/>
        <v>151453219</v>
      </c>
      <c r="F103" s="57">
        <f t="shared" si="23"/>
        <v>224206949.9000001</v>
      </c>
      <c r="G103" s="58">
        <f t="shared" si="23"/>
        <v>9.9000000953674316</v>
      </c>
      <c r="H103" s="59">
        <f t="shared" si="23"/>
        <v>224206940</v>
      </c>
      <c r="I103" s="53"/>
      <c r="N103" s="232"/>
    </row>
    <row r="104" spans="1:256" ht="16.5" thickBot="1" x14ac:dyDescent="0.3">
      <c r="B104" s="14" t="s">
        <v>48</v>
      </c>
      <c r="C104" s="91">
        <f t="shared" ref="C104:H104" si="24">SUM(C102:C103)</f>
        <v>1891775673</v>
      </c>
      <c r="D104" s="91">
        <f t="shared" si="24"/>
        <v>0</v>
      </c>
      <c r="E104" s="91">
        <f t="shared" si="24"/>
        <v>151453219</v>
      </c>
      <c r="F104" s="92">
        <f t="shared" si="24"/>
        <v>2043228892</v>
      </c>
      <c r="G104" s="93">
        <f t="shared" si="24"/>
        <v>1534275983.25</v>
      </c>
      <c r="H104" s="94">
        <f t="shared" si="24"/>
        <v>508952908.75</v>
      </c>
      <c r="I104" s="95"/>
      <c r="N104" s="232"/>
    </row>
    <row r="105" spans="1:256" x14ac:dyDescent="0.25">
      <c r="B105" s="1" t="s">
        <v>50</v>
      </c>
      <c r="C105" s="96">
        <f>+C18-C104</f>
        <v>0</v>
      </c>
      <c r="D105" s="96">
        <f>+D18-D104</f>
        <v>0</v>
      </c>
      <c r="E105" s="96">
        <f>+E18-E104</f>
        <v>0</v>
      </c>
      <c r="F105" s="96">
        <f>+F18-F104</f>
        <v>0</v>
      </c>
    </row>
    <row r="106" spans="1:256" x14ac:dyDescent="0.25">
      <c r="B106" s="97"/>
    </row>
    <row r="107" spans="1:256" x14ac:dyDescent="0.25">
      <c r="B107" s="97"/>
    </row>
    <row r="109" spans="1:256" x14ac:dyDescent="0.25">
      <c r="A109" s="98"/>
      <c r="B109" s="98"/>
      <c r="C109" s="99"/>
      <c r="D109" s="99"/>
      <c r="E109" s="99"/>
      <c r="F109" s="99"/>
      <c r="G109" s="99"/>
      <c r="H109" s="99"/>
      <c r="I109" s="100"/>
      <c r="J109" s="101"/>
      <c r="K109" s="101"/>
      <c r="L109" s="102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  <c r="ID109" s="98"/>
      <c r="IE109" s="98"/>
      <c r="IF109" s="98"/>
      <c r="IG109" s="98"/>
      <c r="IH109" s="98"/>
      <c r="II109" s="98"/>
      <c r="IJ109" s="98"/>
      <c r="IK109" s="98"/>
      <c r="IL109" s="98"/>
      <c r="IM109" s="98"/>
      <c r="IN109" s="98"/>
      <c r="IO109" s="98"/>
      <c r="IP109" s="98"/>
      <c r="IQ109" s="98"/>
      <c r="IR109" s="98"/>
      <c r="IS109" s="98"/>
      <c r="IT109" s="98"/>
      <c r="IU109" s="98"/>
      <c r="IV109" s="98"/>
    </row>
    <row r="110" spans="1:256" x14ac:dyDescent="0.25">
      <c r="A110" s="98"/>
      <c r="B110" s="98"/>
      <c r="C110" s="99"/>
      <c r="D110" s="99"/>
      <c r="E110" s="99"/>
      <c r="J110" s="101"/>
      <c r="K110" s="101"/>
      <c r="L110" s="102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X110" s="98"/>
      <c r="GY110" s="98"/>
      <c r="GZ110" s="98"/>
      <c r="HA110" s="98"/>
      <c r="HB110" s="98"/>
      <c r="HC110" s="98"/>
      <c r="HD110" s="98"/>
      <c r="HE110" s="98"/>
      <c r="HF110" s="98"/>
      <c r="HG110" s="98"/>
      <c r="HH110" s="98"/>
      <c r="HI110" s="98"/>
      <c r="HJ110" s="98"/>
      <c r="HK110" s="98"/>
      <c r="HL110" s="98"/>
      <c r="HM110" s="98"/>
      <c r="HN110" s="98"/>
      <c r="HO110" s="98"/>
      <c r="HP110" s="98"/>
      <c r="HQ110" s="98"/>
      <c r="HR110" s="98"/>
      <c r="HS110" s="98"/>
      <c r="HT110" s="98"/>
      <c r="HU110" s="98"/>
      <c r="HV110" s="98"/>
      <c r="HW110" s="98"/>
      <c r="HX110" s="98"/>
      <c r="HY110" s="98"/>
      <c r="HZ110" s="98"/>
      <c r="IA110" s="98"/>
      <c r="IB110" s="98"/>
      <c r="IC110" s="98"/>
      <c r="ID110" s="98"/>
      <c r="IE110" s="98"/>
      <c r="IF110" s="98"/>
      <c r="IG110" s="98"/>
      <c r="IH110" s="98"/>
      <c r="II110" s="98"/>
      <c r="IJ110" s="98"/>
      <c r="IK110" s="98"/>
      <c r="IL110" s="98"/>
      <c r="IM110" s="98"/>
      <c r="IN110" s="98"/>
      <c r="IO110" s="98"/>
      <c r="IP110" s="98"/>
      <c r="IQ110" s="98"/>
      <c r="IR110" s="98"/>
      <c r="IS110" s="98"/>
      <c r="IT110" s="98"/>
      <c r="IU110" s="98"/>
      <c r="IV110" s="98"/>
    </row>
    <row r="111" spans="1:256" x14ac:dyDescent="0.25">
      <c r="A111" s="98"/>
      <c r="B111" s="98"/>
      <c r="C111" s="99"/>
      <c r="D111" s="99"/>
      <c r="E111" s="99"/>
      <c r="J111" s="101"/>
      <c r="K111" s="101"/>
      <c r="L111" s="102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  <c r="ID111" s="98"/>
      <c r="IE111" s="98"/>
      <c r="IF111" s="98"/>
      <c r="IG111" s="98"/>
      <c r="IH111" s="98"/>
      <c r="II111" s="98"/>
      <c r="IJ111" s="98"/>
      <c r="IK111" s="98"/>
      <c r="IL111" s="98"/>
      <c r="IM111" s="98"/>
      <c r="IN111" s="98"/>
      <c r="IO111" s="98"/>
      <c r="IP111" s="98"/>
      <c r="IQ111" s="98"/>
      <c r="IR111" s="98"/>
      <c r="IS111" s="98"/>
      <c r="IT111" s="98"/>
      <c r="IU111" s="98"/>
      <c r="IV111" s="98"/>
    </row>
    <row r="112" spans="1:256" x14ac:dyDescent="0.25">
      <c r="A112" s="98"/>
      <c r="B112" s="98"/>
      <c r="C112" s="99"/>
      <c r="D112" s="99"/>
      <c r="E112" s="99"/>
      <c r="J112" s="101"/>
      <c r="K112" s="101"/>
      <c r="L112" s="102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98"/>
      <c r="HS112" s="98"/>
      <c r="HT112" s="98"/>
      <c r="HU112" s="98"/>
      <c r="HV112" s="98"/>
      <c r="HW112" s="98"/>
      <c r="HX112" s="98"/>
      <c r="HY112" s="98"/>
      <c r="HZ112" s="98"/>
      <c r="IA112" s="98"/>
      <c r="IB112" s="98"/>
      <c r="IC112" s="98"/>
      <c r="ID112" s="98"/>
      <c r="IE112" s="98"/>
      <c r="IF112" s="98"/>
      <c r="IG112" s="98"/>
      <c r="IH112" s="98"/>
      <c r="II112" s="98"/>
      <c r="IJ112" s="98"/>
      <c r="IK112" s="98"/>
      <c r="IL112" s="98"/>
      <c r="IM112" s="98"/>
      <c r="IN112" s="98"/>
      <c r="IO112" s="98"/>
      <c r="IP112" s="98"/>
      <c r="IQ112" s="98"/>
      <c r="IR112" s="98"/>
      <c r="IS112" s="98"/>
      <c r="IT112" s="98"/>
      <c r="IU112" s="98"/>
      <c r="IV112" s="98"/>
    </row>
    <row r="113" spans="1:256" x14ac:dyDescent="0.25">
      <c r="A113" s="98"/>
      <c r="B113" s="98"/>
      <c r="C113" s="99"/>
      <c r="D113" s="99"/>
      <c r="E113" s="99"/>
      <c r="F113" s="99"/>
      <c r="G113" s="99"/>
      <c r="H113" s="99"/>
      <c r="I113" s="100"/>
      <c r="J113" s="101"/>
      <c r="K113" s="101"/>
      <c r="L113" s="102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98"/>
      <c r="GT113" s="98"/>
      <c r="GU113" s="98"/>
      <c r="GV113" s="98"/>
      <c r="GW113" s="98"/>
      <c r="GX113" s="98"/>
      <c r="GY113" s="98"/>
      <c r="GZ113" s="98"/>
      <c r="HA113" s="98"/>
      <c r="HB113" s="98"/>
      <c r="HC113" s="98"/>
      <c r="HD113" s="98"/>
      <c r="HE113" s="98"/>
      <c r="HF113" s="98"/>
      <c r="HG113" s="98"/>
      <c r="HH113" s="98"/>
      <c r="HI113" s="98"/>
      <c r="HJ113" s="98"/>
      <c r="HK113" s="98"/>
      <c r="HL113" s="98"/>
      <c r="HM113" s="98"/>
      <c r="HN113" s="98"/>
      <c r="HO113" s="98"/>
      <c r="HP113" s="98"/>
      <c r="HQ113" s="98"/>
      <c r="HR113" s="98"/>
      <c r="HS113" s="98"/>
      <c r="HT113" s="98"/>
      <c r="HU113" s="98"/>
      <c r="HV113" s="98"/>
      <c r="HW113" s="98"/>
      <c r="HX113" s="98"/>
      <c r="HY113" s="98"/>
      <c r="HZ113" s="98"/>
      <c r="IA113" s="98"/>
      <c r="IB113" s="98"/>
      <c r="IC113" s="98"/>
      <c r="ID113" s="98"/>
      <c r="IE113" s="98"/>
      <c r="IF113" s="98"/>
      <c r="IG113" s="98"/>
      <c r="IH113" s="98"/>
      <c r="II113" s="98"/>
      <c r="IJ113" s="98"/>
      <c r="IK113" s="98"/>
      <c r="IL113" s="98"/>
      <c r="IM113" s="98"/>
      <c r="IN113" s="98"/>
      <c r="IO113" s="98"/>
      <c r="IP113" s="98"/>
      <c r="IQ113" s="98"/>
      <c r="IR113" s="98"/>
      <c r="IS113" s="98"/>
      <c r="IT113" s="98"/>
      <c r="IU113" s="98"/>
      <c r="IV113" s="98"/>
    </row>
    <row r="114" spans="1:256" x14ac:dyDescent="0.25">
      <c r="A114" s="98"/>
      <c r="B114" s="98"/>
      <c r="C114" s="99"/>
      <c r="D114" s="99"/>
      <c r="E114" s="99"/>
      <c r="F114" s="99"/>
      <c r="G114" s="99"/>
      <c r="H114" s="99"/>
      <c r="I114" s="100"/>
      <c r="J114" s="101"/>
      <c r="K114" s="101"/>
      <c r="L114" s="102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  <c r="GT114" s="98"/>
      <c r="GU114" s="98"/>
      <c r="GV114" s="98"/>
      <c r="GW114" s="98"/>
      <c r="GX114" s="98"/>
      <c r="GY114" s="98"/>
      <c r="GZ114" s="98"/>
      <c r="HA114" s="98"/>
      <c r="HB114" s="98"/>
      <c r="HC114" s="98"/>
      <c r="HD114" s="98"/>
      <c r="HE114" s="98"/>
      <c r="HF114" s="98"/>
      <c r="HG114" s="98"/>
      <c r="HH114" s="98"/>
      <c r="HI114" s="98"/>
      <c r="HJ114" s="98"/>
      <c r="HK114" s="98"/>
      <c r="HL114" s="98"/>
      <c r="HM114" s="98"/>
      <c r="HN114" s="98"/>
      <c r="HO114" s="98"/>
      <c r="HP114" s="98"/>
      <c r="HQ114" s="98"/>
      <c r="HR114" s="98"/>
      <c r="HS114" s="98"/>
      <c r="HT114" s="98"/>
      <c r="HU114" s="98"/>
      <c r="HV114" s="98"/>
      <c r="HW114" s="98"/>
      <c r="HX114" s="98"/>
      <c r="HY114" s="98"/>
      <c r="HZ114" s="98"/>
      <c r="IA114" s="98"/>
      <c r="IB114" s="98"/>
      <c r="IC114" s="98"/>
      <c r="ID114" s="98"/>
      <c r="IE114" s="98"/>
      <c r="IF114" s="98"/>
      <c r="IG114" s="98"/>
      <c r="IH114" s="98"/>
      <c r="II114" s="98"/>
      <c r="IJ114" s="98"/>
      <c r="IK114" s="98"/>
      <c r="IL114" s="98"/>
      <c r="IM114" s="98"/>
      <c r="IN114" s="98"/>
      <c r="IO114" s="98"/>
      <c r="IP114" s="98"/>
      <c r="IQ114" s="98"/>
      <c r="IR114" s="98"/>
      <c r="IS114" s="98"/>
      <c r="IT114" s="98"/>
      <c r="IU114" s="98"/>
      <c r="IV114" s="98"/>
    </row>
    <row r="115" spans="1:256" x14ac:dyDescent="0.25">
      <c r="A115" s="98"/>
      <c r="B115" s="98"/>
      <c r="C115" s="99"/>
      <c r="D115" s="99"/>
      <c r="E115" s="99"/>
      <c r="F115" s="99"/>
      <c r="G115" s="99"/>
      <c r="H115" s="99"/>
      <c r="I115" s="100"/>
      <c r="J115" s="101"/>
      <c r="K115" s="101"/>
      <c r="L115" s="102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X115" s="98"/>
      <c r="GY115" s="98"/>
      <c r="GZ115" s="98"/>
      <c r="HA115" s="98"/>
      <c r="HB115" s="98"/>
      <c r="HC115" s="98"/>
      <c r="HD115" s="98"/>
      <c r="HE115" s="98"/>
      <c r="HF115" s="98"/>
      <c r="HG115" s="98"/>
      <c r="HH115" s="98"/>
      <c r="HI115" s="98"/>
      <c r="HJ115" s="98"/>
      <c r="HK115" s="98"/>
      <c r="HL115" s="98"/>
      <c r="HM115" s="98"/>
      <c r="HN115" s="98"/>
      <c r="HO115" s="98"/>
      <c r="HP115" s="98"/>
      <c r="HQ115" s="98"/>
      <c r="HR115" s="98"/>
      <c r="HS115" s="98"/>
      <c r="HT115" s="98"/>
      <c r="HU115" s="98"/>
      <c r="HV115" s="98"/>
      <c r="HW115" s="98"/>
      <c r="HX115" s="98"/>
      <c r="HY115" s="98"/>
      <c r="HZ115" s="98"/>
      <c r="IA115" s="98"/>
      <c r="IB115" s="98"/>
      <c r="IC115" s="98"/>
      <c r="ID115" s="98"/>
      <c r="IE115" s="98"/>
      <c r="IF115" s="98"/>
      <c r="IG115" s="98"/>
      <c r="IH115" s="98"/>
      <c r="II115" s="98"/>
      <c r="IJ115" s="98"/>
      <c r="IK115" s="98"/>
      <c r="IL115" s="98"/>
      <c r="IM115" s="98"/>
      <c r="IN115" s="98"/>
      <c r="IO115" s="98"/>
      <c r="IP115" s="98"/>
      <c r="IQ115" s="98"/>
      <c r="IR115" s="98"/>
      <c r="IS115" s="98"/>
      <c r="IT115" s="98"/>
      <c r="IU115" s="98"/>
      <c r="IV115" s="98"/>
    </row>
  </sheetData>
  <autoFilter ref="B8:I105"/>
  <mergeCells count="8">
    <mergeCell ref="B8:B9"/>
    <mergeCell ref="H8:H9"/>
    <mergeCell ref="I8:I9"/>
    <mergeCell ref="B2:I2"/>
    <mergeCell ref="B3:I3"/>
    <mergeCell ref="B4:I4"/>
    <mergeCell ref="B5:I5"/>
    <mergeCell ref="B6:I6"/>
  </mergeCells>
  <pageMargins left="0.70866141732283472" right="0.70866141732283472" top="0.59055118110236227" bottom="0.39370078740157483" header="0.31496062992125984" footer="0.31496062992125984"/>
  <pageSetup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13"/>
  <sheetViews>
    <sheetView topLeftCell="B1" zoomScale="80" zoomScaleNormal="80" workbookViewId="0">
      <pane ySplit="1" topLeftCell="A56" activePane="bottomLeft" state="frozen"/>
      <selection activeCell="B1" sqref="B1"/>
      <selection pane="bottomLeft" activeCell="B2" sqref="B2:V104"/>
    </sheetView>
  </sheetViews>
  <sheetFormatPr baseColWidth="10" defaultRowHeight="15.75" outlineLevelCol="1" x14ac:dyDescent="0.25"/>
  <cols>
    <col min="1" max="1" width="0.7109375" style="1" hidden="1" customWidth="1"/>
    <col min="2" max="2" width="38.85546875" style="1" customWidth="1"/>
    <col min="3" max="13" width="20" style="105" hidden="1" customWidth="1" outlineLevel="1"/>
    <col min="14" max="14" width="20" style="105" customWidth="1" collapsed="1"/>
    <col min="15" max="15" width="9.42578125" style="104" customWidth="1"/>
    <col min="16" max="16" width="20.7109375" style="105" customWidth="1"/>
    <col min="17" max="17" width="20.5703125" style="105" customWidth="1"/>
    <col min="18" max="20" width="20.7109375" style="105" customWidth="1" outlineLevel="1"/>
    <col min="21" max="21" width="20.7109375" style="105" customWidth="1"/>
    <col min="22" max="22" width="19.85546875" style="105" customWidth="1"/>
    <col min="23" max="23" width="20.42578125" style="106" customWidth="1"/>
    <col min="24" max="24" width="17.28515625" style="1" bestFit="1" customWidth="1"/>
    <col min="25" max="25" width="21.140625" style="1" customWidth="1"/>
    <col min="26" max="27" width="11.42578125" style="1"/>
    <col min="28" max="28" width="17.85546875" style="1" bestFit="1" customWidth="1"/>
    <col min="29" max="29" width="15" style="1" bestFit="1" customWidth="1"/>
    <col min="30" max="245" width="11.42578125" style="1"/>
    <col min="246" max="246" width="0.7109375" style="1" customWidth="1"/>
    <col min="247" max="247" width="42.28515625" style="1" bestFit="1" customWidth="1"/>
    <col min="248" max="249" width="13.85546875" style="1" bestFit="1" customWidth="1"/>
    <col min="250" max="250" width="11.140625" style="1" bestFit="1" customWidth="1"/>
    <col min="251" max="251" width="13.85546875" style="1" bestFit="1" customWidth="1"/>
    <col min="252" max="252" width="3.7109375" style="1" bestFit="1" customWidth="1"/>
    <col min="253" max="253" width="7.5703125" style="1" bestFit="1" customWidth="1"/>
    <col min="254" max="254" width="16.7109375" style="1" bestFit="1" customWidth="1"/>
    <col min="255" max="256" width="12.28515625" style="1" bestFit="1" customWidth="1"/>
    <col min="257" max="501" width="11.42578125" style="1"/>
    <col min="502" max="502" width="0.7109375" style="1" customWidth="1"/>
    <col min="503" max="503" width="42.28515625" style="1" bestFit="1" customWidth="1"/>
    <col min="504" max="505" width="13.85546875" style="1" bestFit="1" customWidth="1"/>
    <col min="506" max="506" width="11.140625" style="1" bestFit="1" customWidth="1"/>
    <col min="507" max="507" width="13.85546875" style="1" bestFit="1" customWidth="1"/>
    <col min="508" max="508" width="3.7109375" style="1" bestFit="1" customWidth="1"/>
    <col min="509" max="509" width="7.5703125" style="1" bestFit="1" customWidth="1"/>
    <col min="510" max="510" width="16.7109375" style="1" bestFit="1" customWidth="1"/>
    <col min="511" max="512" width="12.28515625" style="1" bestFit="1" customWidth="1"/>
    <col min="513" max="757" width="11.42578125" style="1"/>
    <col min="758" max="758" width="0.7109375" style="1" customWidth="1"/>
    <col min="759" max="759" width="42.28515625" style="1" bestFit="1" customWidth="1"/>
    <col min="760" max="761" width="13.85546875" style="1" bestFit="1" customWidth="1"/>
    <col min="762" max="762" width="11.140625" style="1" bestFit="1" customWidth="1"/>
    <col min="763" max="763" width="13.85546875" style="1" bestFit="1" customWidth="1"/>
    <col min="764" max="764" width="3.7109375" style="1" bestFit="1" customWidth="1"/>
    <col min="765" max="765" width="7.5703125" style="1" bestFit="1" customWidth="1"/>
    <col min="766" max="766" width="16.7109375" style="1" bestFit="1" customWidth="1"/>
    <col min="767" max="768" width="12.28515625" style="1" bestFit="1" customWidth="1"/>
    <col min="769" max="1013" width="11.42578125" style="1"/>
    <col min="1014" max="1014" width="0.7109375" style="1" customWidth="1"/>
    <col min="1015" max="1015" width="42.28515625" style="1" bestFit="1" customWidth="1"/>
    <col min="1016" max="1017" width="13.85546875" style="1" bestFit="1" customWidth="1"/>
    <col min="1018" max="1018" width="11.140625" style="1" bestFit="1" customWidth="1"/>
    <col min="1019" max="1019" width="13.85546875" style="1" bestFit="1" customWidth="1"/>
    <col min="1020" max="1020" width="3.7109375" style="1" bestFit="1" customWidth="1"/>
    <col min="1021" max="1021" width="7.5703125" style="1" bestFit="1" customWidth="1"/>
    <col min="1022" max="1022" width="16.7109375" style="1" bestFit="1" customWidth="1"/>
    <col min="1023" max="1024" width="12.28515625" style="1" bestFit="1" customWidth="1"/>
    <col min="1025" max="1269" width="11.42578125" style="1"/>
    <col min="1270" max="1270" width="0.7109375" style="1" customWidth="1"/>
    <col min="1271" max="1271" width="42.28515625" style="1" bestFit="1" customWidth="1"/>
    <col min="1272" max="1273" width="13.85546875" style="1" bestFit="1" customWidth="1"/>
    <col min="1274" max="1274" width="11.140625" style="1" bestFit="1" customWidth="1"/>
    <col min="1275" max="1275" width="13.85546875" style="1" bestFit="1" customWidth="1"/>
    <col min="1276" max="1276" width="3.7109375" style="1" bestFit="1" customWidth="1"/>
    <col min="1277" max="1277" width="7.5703125" style="1" bestFit="1" customWidth="1"/>
    <col min="1278" max="1278" width="16.7109375" style="1" bestFit="1" customWidth="1"/>
    <col min="1279" max="1280" width="12.28515625" style="1" bestFit="1" customWidth="1"/>
    <col min="1281" max="1525" width="11.42578125" style="1"/>
    <col min="1526" max="1526" width="0.7109375" style="1" customWidth="1"/>
    <col min="1527" max="1527" width="42.28515625" style="1" bestFit="1" customWidth="1"/>
    <col min="1528" max="1529" width="13.85546875" style="1" bestFit="1" customWidth="1"/>
    <col min="1530" max="1530" width="11.140625" style="1" bestFit="1" customWidth="1"/>
    <col min="1531" max="1531" width="13.85546875" style="1" bestFit="1" customWidth="1"/>
    <col min="1532" max="1532" width="3.7109375" style="1" bestFit="1" customWidth="1"/>
    <col min="1533" max="1533" width="7.5703125" style="1" bestFit="1" customWidth="1"/>
    <col min="1534" max="1534" width="16.7109375" style="1" bestFit="1" customWidth="1"/>
    <col min="1535" max="1536" width="12.28515625" style="1" bestFit="1" customWidth="1"/>
    <col min="1537" max="1781" width="11.42578125" style="1"/>
    <col min="1782" max="1782" width="0.7109375" style="1" customWidth="1"/>
    <col min="1783" max="1783" width="42.28515625" style="1" bestFit="1" customWidth="1"/>
    <col min="1784" max="1785" width="13.85546875" style="1" bestFit="1" customWidth="1"/>
    <col min="1786" max="1786" width="11.140625" style="1" bestFit="1" customWidth="1"/>
    <col min="1787" max="1787" width="13.85546875" style="1" bestFit="1" customWidth="1"/>
    <col min="1788" max="1788" width="3.7109375" style="1" bestFit="1" customWidth="1"/>
    <col min="1789" max="1789" width="7.5703125" style="1" bestFit="1" customWidth="1"/>
    <col min="1790" max="1790" width="16.7109375" style="1" bestFit="1" customWidth="1"/>
    <col min="1791" max="1792" width="12.28515625" style="1" bestFit="1" customWidth="1"/>
    <col min="1793" max="2037" width="11.42578125" style="1"/>
    <col min="2038" max="2038" width="0.7109375" style="1" customWidth="1"/>
    <col min="2039" max="2039" width="42.28515625" style="1" bestFit="1" customWidth="1"/>
    <col min="2040" max="2041" width="13.85546875" style="1" bestFit="1" customWidth="1"/>
    <col min="2042" max="2042" width="11.140625" style="1" bestFit="1" customWidth="1"/>
    <col min="2043" max="2043" width="13.85546875" style="1" bestFit="1" customWidth="1"/>
    <col min="2044" max="2044" width="3.7109375" style="1" bestFit="1" customWidth="1"/>
    <col min="2045" max="2045" width="7.5703125" style="1" bestFit="1" customWidth="1"/>
    <col min="2046" max="2046" width="16.7109375" style="1" bestFit="1" customWidth="1"/>
    <col min="2047" max="2048" width="12.28515625" style="1" bestFit="1" customWidth="1"/>
    <col min="2049" max="2293" width="11.42578125" style="1"/>
    <col min="2294" max="2294" width="0.7109375" style="1" customWidth="1"/>
    <col min="2295" max="2295" width="42.28515625" style="1" bestFit="1" customWidth="1"/>
    <col min="2296" max="2297" width="13.85546875" style="1" bestFit="1" customWidth="1"/>
    <col min="2298" max="2298" width="11.140625" style="1" bestFit="1" customWidth="1"/>
    <col min="2299" max="2299" width="13.85546875" style="1" bestFit="1" customWidth="1"/>
    <col min="2300" max="2300" width="3.7109375" style="1" bestFit="1" customWidth="1"/>
    <col min="2301" max="2301" width="7.5703125" style="1" bestFit="1" customWidth="1"/>
    <col min="2302" max="2302" width="16.7109375" style="1" bestFit="1" customWidth="1"/>
    <col min="2303" max="2304" width="12.28515625" style="1" bestFit="1" customWidth="1"/>
    <col min="2305" max="2549" width="11.42578125" style="1"/>
    <col min="2550" max="2550" width="0.7109375" style="1" customWidth="1"/>
    <col min="2551" max="2551" width="42.28515625" style="1" bestFit="1" customWidth="1"/>
    <col min="2552" max="2553" width="13.85546875" style="1" bestFit="1" customWidth="1"/>
    <col min="2554" max="2554" width="11.140625" style="1" bestFit="1" customWidth="1"/>
    <col min="2555" max="2555" width="13.85546875" style="1" bestFit="1" customWidth="1"/>
    <col min="2556" max="2556" width="3.7109375" style="1" bestFit="1" customWidth="1"/>
    <col min="2557" max="2557" width="7.5703125" style="1" bestFit="1" customWidth="1"/>
    <col min="2558" max="2558" width="16.7109375" style="1" bestFit="1" customWidth="1"/>
    <col min="2559" max="2560" width="12.28515625" style="1" bestFit="1" customWidth="1"/>
    <col min="2561" max="2805" width="11.42578125" style="1"/>
    <col min="2806" max="2806" width="0.7109375" style="1" customWidth="1"/>
    <col min="2807" max="2807" width="42.28515625" style="1" bestFit="1" customWidth="1"/>
    <col min="2808" max="2809" width="13.85546875" style="1" bestFit="1" customWidth="1"/>
    <col min="2810" max="2810" width="11.140625" style="1" bestFit="1" customWidth="1"/>
    <col min="2811" max="2811" width="13.85546875" style="1" bestFit="1" customWidth="1"/>
    <col min="2812" max="2812" width="3.7109375" style="1" bestFit="1" customWidth="1"/>
    <col min="2813" max="2813" width="7.5703125" style="1" bestFit="1" customWidth="1"/>
    <col min="2814" max="2814" width="16.7109375" style="1" bestFit="1" customWidth="1"/>
    <col min="2815" max="2816" width="12.28515625" style="1" bestFit="1" customWidth="1"/>
    <col min="2817" max="3061" width="11.42578125" style="1"/>
    <col min="3062" max="3062" width="0.7109375" style="1" customWidth="1"/>
    <col min="3063" max="3063" width="42.28515625" style="1" bestFit="1" customWidth="1"/>
    <col min="3064" max="3065" width="13.85546875" style="1" bestFit="1" customWidth="1"/>
    <col min="3066" max="3066" width="11.140625" style="1" bestFit="1" customWidth="1"/>
    <col min="3067" max="3067" width="13.85546875" style="1" bestFit="1" customWidth="1"/>
    <col min="3068" max="3068" width="3.7109375" style="1" bestFit="1" customWidth="1"/>
    <col min="3069" max="3069" width="7.5703125" style="1" bestFit="1" customWidth="1"/>
    <col min="3070" max="3070" width="16.7109375" style="1" bestFit="1" customWidth="1"/>
    <col min="3071" max="3072" width="12.28515625" style="1" bestFit="1" customWidth="1"/>
    <col min="3073" max="3317" width="11.42578125" style="1"/>
    <col min="3318" max="3318" width="0.7109375" style="1" customWidth="1"/>
    <col min="3319" max="3319" width="42.28515625" style="1" bestFit="1" customWidth="1"/>
    <col min="3320" max="3321" width="13.85546875" style="1" bestFit="1" customWidth="1"/>
    <col min="3322" max="3322" width="11.140625" style="1" bestFit="1" customWidth="1"/>
    <col min="3323" max="3323" width="13.85546875" style="1" bestFit="1" customWidth="1"/>
    <col min="3324" max="3324" width="3.7109375" style="1" bestFit="1" customWidth="1"/>
    <col min="3325" max="3325" width="7.5703125" style="1" bestFit="1" customWidth="1"/>
    <col min="3326" max="3326" width="16.7109375" style="1" bestFit="1" customWidth="1"/>
    <col min="3327" max="3328" width="12.28515625" style="1" bestFit="1" customWidth="1"/>
    <col min="3329" max="3573" width="11.42578125" style="1"/>
    <col min="3574" max="3574" width="0.7109375" style="1" customWidth="1"/>
    <col min="3575" max="3575" width="42.28515625" style="1" bestFit="1" customWidth="1"/>
    <col min="3576" max="3577" width="13.85546875" style="1" bestFit="1" customWidth="1"/>
    <col min="3578" max="3578" width="11.140625" style="1" bestFit="1" customWidth="1"/>
    <col min="3579" max="3579" width="13.85546875" style="1" bestFit="1" customWidth="1"/>
    <col min="3580" max="3580" width="3.7109375" style="1" bestFit="1" customWidth="1"/>
    <col min="3581" max="3581" width="7.5703125" style="1" bestFit="1" customWidth="1"/>
    <col min="3582" max="3582" width="16.7109375" style="1" bestFit="1" customWidth="1"/>
    <col min="3583" max="3584" width="12.28515625" style="1" bestFit="1" customWidth="1"/>
    <col min="3585" max="3829" width="11.42578125" style="1"/>
    <col min="3830" max="3830" width="0.7109375" style="1" customWidth="1"/>
    <col min="3831" max="3831" width="42.28515625" style="1" bestFit="1" customWidth="1"/>
    <col min="3832" max="3833" width="13.85546875" style="1" bestFit="1" customWidth="1"/>
    <col min="3834" max="3834" width="11.140625" style="1" bestFit="1" customWidth="1"/>
    <col min="3835" max="3835" width="13.85546875" style="1" bestFit="1" customWidth="1"/>
    <col min="3836" max="3836" width="3.7109375" style="1" bestFit="1" customWidth="1"/>
    <col min="3837" max="3837" width="7.5703125" style="1" bestFit="1" customWidth="1"/>
    <col min="3838" max="3838" width="16.7109375" style="1" bestFit="1" customWidth="1"/>
    <col min="3839" max="3840" width="12.28515625" style="1" bestFit="1" customWidth="1"/>
    <col min="3841" max="4085" width="11.42578125" style="1"/>
    <col min="4086" max="4086" width="0.7109375" style="1" customWidth="1"/>
    <col min="4087" max="4087" width="42.28515625" style="1" bestFit="1" customWidth="1"/>
    <col min="4088" max="4089" width="13.85546875" style="1" bestFit="1" customWidth="1"/>
    <col min="4090" max="4090" width="11.140625" style="1" bestFit="1" customWidth="1"/>
    <col min="4091" max="4091" width="13.85546875" style="1" bestFit="1" customWidth="1"/>
    <col min="4092" max="4092" width="3.7109375" style="1" bestFit="1" customWidth="1"/>
    <col min="4093" max="4093" width="7.5703125" style="1" bestFit="1" customWidth="1"/>
    <col min="4094" max="4094" width="16.7109375" style="1" bestFit="1" customWidth="1"/>
    <col min="4095" max="4096" width="12.28515625" style="1" bestFit="1" customWidth="1"/>
    <col min="4097" max="4341" width="11.42578125" style="1"/>
    <col min="4342" max="4342" width="0.7109375" style="1" customWidth="1"/>
    <col min="4343" max="4343" width="42.28515625" style="1" bestFit="1" customWidth="1"/>
    <col min="4344" max="4345" width="13.85546875" style="1" bestFit="1" customWidth="1"/>
    <col min="4346" max="4346" width="11.140625" style="1" bestFit="1" customWidth="1"/>
    <col min="4347" max="4347" width="13.85546875" style="1" bestFit="1" customWidth="1"/>
    <col min="4348" max="4348" width="3.7109375" style="1" bestFit="1" customWidth="1"/>
    <col min="4349" max="4349" width="7.5703125" style="1" bestFit="1" customWidth="1"/>
    <col min="4350" max="4350" width="16.7109375" style="1" bestFit="1" customWidth="1"/>
    <col min="4351" max="4352" width="12.28515625" style="1" bestFit="1" customWidth="1"/>
    <col min="4353" max="4597" width="11.42578125" style="1"/>
    <col min="4598" max="4598" width="0.7109375" style="1" customWidth="1"/>
    <col min="4599" max="4599" width="42.28515625" style="1" bestFit="1" customWidth="1"/>
    <col min="4600" max="4601" width="13.85546875" style="1" bestFit="1" customWidth="1"/>
    <col min="4602" max="4602" width="11.140625" style="1" bestFit="1" customWidth="1"/>
    <col min="4603" max="4603" width="13.85546875" style="1" bestFit="1" customWidth="1"/>
    <col min="4604" max="4604" width="3.7109375" style="1" bestFit="1" customWidth="1"/>
    <col min="4605" max="4605" width="7.5703125" style="1" bestFit="1" customWidth="1"/>
    <col min="4606" max="4606" width="16.7109375" style="1" bestFit="1" customWidth="1"/>
    <col min="4607" max="4608" width="12.28515625" style="1" bestFit="1" customWidth="1"/>
    <col min="4609" max="4853" width="11.42578125" style="1"/>
    <col min="4854" max="4854" width="0.7109375" style="1" customWidth="1"/>
    <col min="4855" max="4855" width="42.28515625" style="1" bestFit="1" customWidth="1"/>
    <col min="4856" max="4857" width="13.85546875" style="1" bestFit="1" customWidth="1"/>
    <col min="4858" max="4858" width="11.140625" style="1" bestFit="1" customWidth="1"/>
    <col min="4859" max="4859" width="13.85546875" style="1" bestFit="1" customWidth="1"/>
    <col min="4860" max="4860" width="3.7109375" style="1" bestFit="1" customWidth="1"/>
    <col min="4861" max="4861" width="7.5703125" style="1" bestFit="1" customWidth="1"/>
    <col min="4862" max="4862" width="16.7109375" style="1" bestFit="1" customWidth="1"/>
    <col min="4863" max="4864" width="12.28515625" style="1" bestFit="1" customWidth="1"/>
    <col min="4865" max="5109" width="11.42578125" style="1"/>
    <col min="5110" max="5110" width="0.7109375" style="1" customWidth="1"/>
    <col min="5111" max="5111" width="42.28515625" style="1" bestFit="1" customWidth="1"/>
    <col min="5112" max="5113" width="13.85546875" style="1" bestFit="1" customWidth="1"/>
    <col min="5114" max="5114" width="11.140625" style="1" bestFit="1" customWidth="1"/>
    <col min="5115" max="5115" width="13.85546875" style="1" bestFit="1" customWidth="1"/>
    <col min="5116" max="5116" width="3.7109375" style="1" bestFit="1" customWidth="1"/>
    <col min="5117" max="5117" width="7.5703125" style="1" bestFit="1" customWidth="1"/>
    <col min="5118" max="5118" width="16.7109375" style="1" bestFit="1" customWidth="1"/>
    <col min="5119" max="5120" width="12.28515625" style="1" bestFit="1" customWidth="1"/>
    <col min="5121" max="5365" width="11.42578125" style="1"/>
    <col min="5366" max="5366" width="0.7109375" style="1" customWidth="1"/>
    <col min="5367" max="5367" width="42.28515625" style="1" bestFit="1" customWidth="1"/>
    <col min="5368" max="5369" width="13.85546875" style="1" bestFit="1" customWidth="1"/>
    <col min="5370" max="5370" width="11.140625" style="1" bestFit="1" customWidth="1"/>
    <col min="5371" max="5371" width="13.85546875" style="1" bestFit="1" customWidth="1"/>
    <col min="5372" max="5372" width="3.7109375" style="1" bestFit="1" customWidth="1"/>
    <col min="5373" max="5373" width="7.5703125" style="1" bestFit="1" customWidth="1"/>
    <col min="5374" max="5374" width="16.7109375" style="1" bestFit="1" customWidth="1"/>
    <col min="5375" max="5376" width="12.28515625" style="1" bestFit="1" customWidth="1"/>
    <col min="5377" max="5621" width="11.42578125" style="1"/>
    <col min="5622" max="5622" width="0.7109375" style="1" customWidth="1"/>
    <col min="5623" max="5623" width="42.28515625" style="1" bestFit="1" customWidth="1"/>
    <col min="5624" max="5625" width="13.85546875" style="1" bestFit="1" customWidth="1"/>
    <col min="5626" max="5626" width="11.140625" style="1" bestFit="1" customWidth="1"/>
    <col min="5627" max="5627" width="13.85546875" style="1" bestFit="1" customWidth="1"/>
    <col min="5628" max="5628" width="3.7109375" style="1" bestFit="1" customWidth="1"/>
    <col min="5629" max="5629" width="7.5703125" style="1" bestFit="1" customWidth="1"/>
    <col min="5630" max="5630" width="16.7109375" style="1" bestFit="1" customWidth="1"/>
    <col min="5631" max="5632" width="12.28515625" style="1" bestFit="1" customWidth="1"/>
    <col min="5633" max="5877" width="11.42578125" style="1"/>
    <col min="5878" max="5878" width="0.7109375" style="1" customWidth="1"/>
    <col min="5879" max="5879" width="42.28515625" style="1" bestFit="1" customWidth="1"/>
    <col min="5880" max="5881" width="13.85546875" style="1" bestFit="1" customWidth="1"/>
    <col min="5882" max="5882" width="11.140625" style="1" bestFit="1" customWidth="1"/>
    <col min="5883" max="5883" width="13.85546875" style="1" bestFit="1" customWidth="1"/>
    <col min="5884" max="5884" width="3.7109375" style="1" bestFit="1" customWidth="1"/>
    <col min="5885" max="5885" width="7.5703125" style="1" bestFit="1" customWidth="1"/>
    <col min="5886" max="5886" width="16.7109375" style="1" bestFit="1" customWidth="1"/>
    <col min="5887" max="5888" width="12.28515625" style="1" bestFit="1" customWidth="1"/>
    <col min="5889" max="6133" width="11.42578125" style="1"/>
    <col min="6134" max="6134" width="0.7109375" style="1" customWidth="1"/>
    <col min="6135" max="6135" width="42.28515625" style="1" bestFit="1" customWidth="1"/>
    <col min="6136" max="6137" width="13.85546875" style="1" bestFit="1" customWidth="1"/>
    <col min="6138" max="6138" width="11.140625" style="1" bestFit="1" customWidth="1"/>
    <col min="6139" max="6139" width="13.85546875" style="1" bestFit="1" customWidth="1"/>
    <col min="6140" max="6140" width="3.7109375" style="1" bestFit="1" customWidth="1"/>
    <col min="6141" max="6141" width="7.5703125" style="1" bestFit="1" customWidth="1"/>
    <col min="6142" max="6142" width="16.7109375" style="1" bestFit="1" customWidth="1"/>
    <col min="6143" max="6144" width="12.28515625" style="1" bestFit="1" customWidth="1"/>
    <col min="6145" max="6389" width="11.42578125" style="1"/>
    <col min="6390" max="6390" width="0.7109375" style="1" customWidth="1"/>
    <col min="6391" max="6391" width="42.28515625" style="1" bestFit="1" customWidth="1"/>
    <col min="6392" max="6393" width="13.85546875" style="1" bestFit="1" customWidth="1"/>
    <col min="6394" max="6394" width="11.140625" style="1" bestFit="1" customWidth="1"/>
    <col min="6395" max="6395" width="13.85546875" style="1" bestFit="1" customWidth="1"/>
    <col min="6396" max="6396" width="3.7109375" style="1" bestFit="1" customWidth="1"/>
    <col min="6397" max="6397" width="7.5703125" style="1" bestFit="1" customWidth="1"/>
    <col min="6398" max="6398" width="16.7109375" style="1" bestFit="1" customWidth="1"/>
    <col min="6399" max="6400" width="12.28515625" style="1" bestFit="1" customWidth="1"/>
    <col min="6401" max="6645" width="11.42578125" style="1"/>
    <col min="6646" max="6646" width="0.7109375" style="1" customWidth="1"/>
    <col min="6647" max="6647" width="42.28515625" style="1" bestFit="1" customWidth="1"/>
    <col min="6648" max="6649" width="13.85546875" style="1" bestFit="1" customWidth="1"/>
    <col min="6650" max="6650" width="11.140625" style="1" bestFit="1" customWidth="1"/>
    <col min="6651" max="6651" width="13.85546875" style="1" bestFit="1" customWidth="1"/>
    <col min="6652" max="6652" width="3.7109375" style="1" bestFit="1" customWidth="1"/>
    <col min="6653" max="6653" width="7.5703125" style="1" bestFit="1" customWidth="1"/>
    <col min="6654" max="6654" width="16.7109375" style="1" bestFit="1" customWidth="1"/>
    <col min="6655" max="6656" width="12.28515625" style="1" bestFit="1" customWidth="1"/>
    <col min="6657" max="6901" width="11.42578125" style="1"/>
    <col min="6902" max="6902" width="0.7109375" style="1" customWidth="1"/>
    <col min="6903" max="6903" width="42.28515625" style="1" bestFit="1" customWidth="1"/>
    <col min="6904" max="6905" width="13.85546875" style="1" bestFit="1" customWidth="1"/>
    <col min="6906" max="6906" width="11.140625" style="1" bestFit="1" customWidth="1"/>
    <col min="6907" max="6907" width="13.85546875" style="1" bestFit="1" customWidth="1"/>
    <col min="6908" max="6908" width="3.7109375" style="1" bestFit="1" customWidth="1"/>
    <col min="6909" max="6909" width="7.5703125" style="1" bestFit="1" customWidth="1"/>
    <col min="6910" max="6910" width="16.7109375" style="1" bestFit="1" customWidth="1"/>
    <col min="6911" max="6912" width="12.28515625" style="1" bestFit="1" customWidth="1"/>
    <col min="6913" max="7157" width="11.42578125" style="1"/>
    <col min="7158" max="7158" width="0.7109375" style="1" customWidth="1"/>
    <col min="7159" max="7159" width="42.28515625" style="1" bestFit="1" customWidth="1"/>
    <col min="7160" max="7161" width="13.85546875" style="1" bestFit="1" customWidth="1"/>
    <col min="7162" max="7162" width="11.140625" style="1" bestFit="1" customWidth="1"/>
    <col min="7163" max="7163" width="13.85546875" style="1" bestFit="1" customWidth="1"/>
    <col min="7164" max="7164" width="3.7109375" style="1" bestFit="1" customWidth="1"/>
    <col min="7165" max="7165" width="7.5703125" style="1" bestFit="1" customWidth="1"/>
    <col min="7166" max="7166" width="16.7109375" style="1" bestFit="1" customWidth="1"/>
    <col min="7167" max="7168" width="12.28515625" style="1" bestFit="1" customWidth="1"/>
    <col min="7169" max="7413" width="11.42578125" style="1"/>
    <col min="7414" max="7414" width="0.7109375" style="1" customWidth="1"/>
    <col min="7415" max="7415" width="42.28515625" style="1" bestFit="1" customWidth="1"/>
    <col min="7416" max="7417" width="13.85546875" style="1" bestFit="1" customWidth="1"/>
    <col min="7418" max="7418" width="11.140625" style="1" bestFit="1" customWidth="1"/>
    <col min="7419" max="7419" width="13.85546875" style="1" bestFit="1" customWidth="1"/>
    <col min="7420" max="7420" width="3.7109375" style="1" bestFit="1" customWidth="1"/>
    <col min="7421" max="7421" width="7.5703125" style="1" bestFit="1" customWidth="1"/>
    <col min="7422" max="7422" width="16.7109375" style="1" bestFit="1" customWidth="1"/>
    <col min="7423" max="7424" width="12.28515625" style="1" bestFit="1" customWidth="1"/>
    <col min="7425" max="7669" width="11.42578125" style="1"/>
    <col min="7670" max="7670" width="0.7109375" style="1" customWidth="1"/>
    <col min="7671" max="7671" width="42.28515625" style="1" bestFit="1" customWidth="1"/>
    <col min="7672" max="7673" width="13.85546875" style="1" bestFit="1" customWidth="1"/>
    <col min="7674" max="7674" width="11.140625" style="1" bestFit="1" customWidth="1"/>
    <col min="7675" max="7675" width="13.85546875" style="1" bestFit="1" customWidth="1"/>
    <col min="7676" max="7676" width="3.7109375" style="1" bestFit="1" customWidth="1"/>
    <col min="7677" max="7677" width="7.5703125" style="1" bestFit="1" customWidth="1"/>
    <col min="7678" max="7678" width="16.7109375" style="1" bestFit="1" customWidth="1"/>
    <col min="7679" max="7680" width="12.28515625" style="1" bestFit="1" customWidth="1"/>
    <col min="7681" max="7925" width="11.42578125" style="1"/>
    <col min="7926" max="7926" width="0.7109375" style="1" customWidth="1"/>
    <col min="7927" max="7927" width="42.28515625" style="1" bestFit="1" customWidth="1"/>
    <col min="7928" max="7929" width="13.85546875" style="1" bestFit="1" customWidth="1"/>
    <col min="7930" max="7930" width="11.140625" style="1" bestFit="1" customWidth="1"/>
    <col min="7931" max="7931" width="13.85546875" style="1" bestFit="1" customWidth="1"/>
    <col min="7932" max="7932" width="3.7109375" style="1" bestFit="1" customWidth="1"/>
    <col min="7933" max="7933" width="7.5703125" style="1" bestFit="1" customWidth="1"/>
    <col min="7934" max="7934" width="16.7109375" style="1" bestFit="1" customWidth="1"/>
    <col min="7935" max="7936" width="12.28515625" style="1" bestFit="1" customWidth="1"/>
    <col min="7937" max="8181" width="11.42578125" style="1"/>
    <col min="8182" max="8182" width="0.7109375" style="1" customWidth="1"/>
    <col min="8183" max="8183" width="42.28515625" style="1" bestFit="1" customWidth="1"/>
    <col min="8184" max="8185" width="13.85546875" style="1" bestFit="1" customWidth="1"/>
    <col min="8186" max="8186" width="11.140625" style="1" bestFit="1" customWidth="1"/>
    <col min="8187" max="8187" width="13.85546875" style="1" bestFit="1" customWidth="1"/>
    <col min="8188" max="8188" width="3.7109375" style="1" bestFit="1" customWidth="1"/>
    <col min="8189" max="8189" width="7.5703125" style="1" bestFit="1" customWidth="1"/>
    <col min="8190" max="8190" width="16.7109375" style="1" bestFit="1" customWidth="1"/>
    <col min="8191" max="8192" width="12.28515625" style="1" bestFit="1" customWidth="1"/>
    <col min="8193" max="8437" width="11.42578125" style="1"/>
    <col min="8438" max="8438" width="0.7109375" style="1" customWidth="1"/>
    <col min="8439" max="8439" width="42.28515625" style="1" bestFit="1" customWidth="1"/>
    <col min="8440" max="8441" width="13.85546875" style="1" bestFit="1" customWidth="1"/>
    <col min="8442" max="8442" width="11.140625" style="1" bestFit="1" customWidth="1"/>
    <col min="8443" max="8443" width="13.85546875" style="1" bestFit="1" customWidth="1"/>
    <col min="8444" max="8444" width="3.7109375" style="1" bestFit="1" customWidth="1"/>
    <col min="8445" max="8445" width="7.5703125" style="1" bestFit="1" customWidth="1"/>
    <col min="8446" max="8446" width="16.7109375" style="1" bestFit="1" customWidth="1"/>
    <col min="8447" max="8448" width="12.28515625" style="1" bestFit="1" customWidth="1"/>
    <col min="8449" max="8693" width="11.42578125" style="1"/>
    <col min="8694" max="8694" width="0.7109375" style="1" customWidth="1"/>
    <col min="8695" max="8695" width="42.28515625" style="1" bestFit="1" customWidth="1"/>
    <col min="8696" max="8697" width="13.85546875" style="1" bestFit="1" customWidth="1"/>
    <col min="8698" max="8698" width="11.140625" style="1" bestFit="1" customWidth="1"/>
    <col min="8699" max="8699" width="13.85546875" style="1" bestFit="1" customWidth="1"/>
    <col min="8700" max="8700" width="3.7109375" style="1" bestFit="1" customWidth="1"/>
    <col min="8701" max="8701" width="7.5703125" style="1" bestFit="1" customWidth="1"/>
    <col min="8702" max="8702" width="16.7109375" style="1" bestFit="1" customWidth="1"/>
    <col min="8703" max="8704" width="12.28515625" style="1" bestFit="1" customWidth="1"/>
    <col min="8705" max="8949" width="11.42578125" style="1"/>
    <col min="8950" max="8950" width="0.7109375" style="1" customWidth="1"/>
    <col min="8951" max="8951" width="42.28515625" style="1" bestFit="1" customWidth="1"/>
    <col min="8952" max="8953" width="13.85546875" style="1" bestFit="1" customWidth="1"/>
    <col min="8954" max="8954" width="11.140625" style="1" bestFit="1" customWidth="1"/>
    <col min="8955" max="8955" width="13.85546875" style="1" bestFit="1" customWidth="1"/>
    <col min="8956" max="8956" width="3.7109375" style="1" bestFit="1" customWidth="1"/>
    <col min="8957" max="8957" width="7.5703125" style="1" bestFit="1" customWidth="1"/>
    <col min="8958" max="8958" width="16.7109375" style="1" bestFit="1" customWidth="1"/>
    <col min="8959" max="8960" width="12.28515625" style="1" bestFit="1" customWidth="1"/>
    <col min="8961" max="9205" width="11.42578125" style="1"/>
    <col min="9206" max="9206" width="0.7109375" style="1" customWidth="1"/>
    <col min="9207" max="9207" width="42.28515625" style="1" bestFit="1" customWidth="1"/>
    <col min="9208" max="9209" width="13.85546875" style="1" bestFit="1" customWidth="1"/>
    <col min="9210" max="9210" width="11.140625" style="1" bestFit="1" customWidth="1"/>
    <col min="9211" max="9211" width="13.85546875" style="1" bestFit="1" customWidth="1"/>
    <col min="9212" max="9212" width="3.7109375" style="1" bestFit="1" customWidth="1"/>
    <col min="9213" max="9213" width="7.5703125" style="1" bestFit="1" customWidth="1"/>
    <col min="9214" max="9214" width="16.7109375" style="1" bestFit="1" customWidth="1"/>
    <col min="9215" max="9216" width="12.28515625" style="1" bestFit="1" customWidth="1"/>
    <col min="9217" max="9461" width="11.42578125" style="1"/>
    <col min="9462" max="9462" width="0.7109375" style="1" customWidth="1"/>
    <col min="9463" max="9463" width="42.28515625" style="1" bestFit="1" customWidth="1"/>
    <col min="9464" max="9465" width="13.85546875" style="1" bestFit="1" customWidth="1"/>
    <col min="9466" max="9466" width="11.140625" style="1" bestFit="1" customWidth="1"/>
    <col min="9467" max="9467" width="13.85546875" style="1" bestFit="1" customWidth="1"/>
    <col min="9468" max="9468" width="3.7109375" style="1" bestFit="1" customWidth="1"/>
    <col min="9469" max="9469" width="7.5703125" style="1" bestFit="1" customWidth="1"/>
    <col min="9470" max="9470" width="16.7109375" style="1" bestFit="1" customWidth="1"/>
    <col min="9471" max="9472" width="12.28515625" style="1" bestFit="1" customWidth="1"/>
    <col min="9473" max="9717" width="11.42578125" style="1"/>
    <col min="9718" max="9718" width="0.7109375" style="1" customWidth="1"/>
    <col min="9719" max="9719" width="42.28515625" style="1" bestFit="1" customWidth="1"/>
    <col min="9720" max="9721" width="13.85546875" style="1" bestFit="1" customWidth="1"/>
    <col min="9722" max="9722" width="11.140625" style="1" bestFit="1" customWidth="1"/>
    <col min="9723" max="9723" width="13.85546875" style="1" bestFit="1" customWidth="1"/>
    <col min="9724" max="9724" width="3.7109375" style="1" bestFit="1" customWidth="1"/>
    <col min="9725" max="9725" width="7.5703125" style="1" bestFit="1" customWidth="1"/>
    <col min="9726" max="9726" width="16.7109375" style="1" bestFit="1" customWidth="1"/>
    <col min="9727" max="9728" width="12.28515625" style="1" bestFit="1" customWidth="1"/>
    <col min="9729" max="9973" width="11.42578125" style="1"/>
    <col min="9974" max="9974" width="0.7109375" style="1" customWidth="1"/>
    <col min="9975" max="9975" width="42.28515625" style="1" bestFit="1" customWidth="1"/>
    <col min="9976" max="9977" width="13.85546875" style="1" bestFit="1" customWidth="1"/>
    <col min="9978" max="9978" width="11.140625" style="1" bestFit="1" customWidth="1"/>
    <col min="9979" max="9979" width="13.85546875" style="1" bestFit="1" customWidth="1"/>
    <col min="9980" max="9980" width="3.7109375" style="1" bestFit="1" customWidth="1"/>
    <col min="9981" max="9981" width="7.5703125" style="1" bestFit="1" customWidth="1"/>
    <col min="9982" max="9982" width="16.7109375" style="1" bestFit="1" customWidth="1"/>
    <col min="9983" max="9984" width="12.28515625" style="1" bestFit="1" customWidth="1"/>
    <col min="9985" max="10229" width="11.42578125" style="1"/>
    <col min="10230" max="10230" width="0.7109375" style="1" customWidth="1"/>
    <col min="10231" max="10231" width="42.28515625" style="1" bestFit="1" customWidth="1"/>
    <col min="10232" max="10233" width="13.85546875" style="1" bestFit="1" customWidth="1"/>
    <col min="10234" max="10234" width="11.140625" style="1" bestFit="1" customWidth="1"/>
    <col min="10235" max="10235" width="13.85546875" style="1" bestFit="1" customWidth="1"/>
    <col min="10236" max="10236" width="3.7109375" style="1" bestFit="1" customWidth="1"/>
    <col min="10237" max="10237" width="7.5703125" style="1" bestFit="1" customWidth="1"/>
    <col min="10238" max="10238" width="16.7109375" style="1" bestFit="1" customWidth="1"/>
    <col min="10239" max="10240" width="12.28515625" style="1" bestFit="1" customWidth="1"/>
    <col min="10241" max="10485" width="11.42578125" style="1"/>
    <col min="10486" max="10486" width="0.7109375" style="1" customWidth="1"/>
    <col min="10487" max="10487" width="42.28515625" style="1" bestFit="1" customWidth="1"/>
    <col min="10488" max="10489" width="13.85546875" style="1" bestFit="1" customWidth="1"/>
    <col min="10490" max="10490" width="11.140625" style="1" bestFit="1" customWidth="1"/>
    <col min="10491" max="10491" width="13.85546875" style="1" bestFit="1" customWidth="1"/>
    <col min="10492" max="10492" width="3.7109375" style="1" bestFit="1" customWidth="1"/>
    <col min="10493" max="10493" width="7.5703125" style="1" bestFit="1" customWidth="1"/>
    <col min="10494" max="10494" width="16.7109375" style="1" bestFit="1" customWidth="1"/>
    <col min="10495" max="10496" width="12.28515625" style="1" bestFit="1" customWidth="1"/>
    <col min="10497" max="10741" width="11.42578125" style="1"/>
    <col min="10742" max="10742" width="0.7109375" style="1" customWidth="1"/>
    <col min="10743" max="10743" width="42.28515625" style="1" bestFit="1" customWidth="1"/>
    <col min="10744" max="10745" width="13.85546875" style="1" bestFit="1" customWidth="1"/>
    <col min="10746" max="10746" width="11.140625" style="1" bestFit="1" customWidth="1"/>
    <col min="10747" max="10747" width="13.85546875" style="1" bestFit="1" customWidth="1"/>
    <col min="10748" max="10748" width="3.7109375" style="1" bestFit="1" customWidth="1"/>
    <col min="10749" max="10749" width="7.5703125" style="1" bestFit="1" customWidth="1"/>
    <col min="10750" max="10750" width="16.7109375" style="1" bestFit="1" customWidth="1"/>
    <col min="10751" max="10752" width="12.28515625" style="1" bestFit="1" customWidth="1"/>
    <col min="10753" max="10997" width="11.42578125" style="1"/>
    <col min="10998" max="10998" width="0.7109375" style="1" customWidth="1"/>
    <col min="10999" max="10999" width="42.28515625" style="1" bestFit="1" customWidth="1"/>
    <col min="11000" max="11001" width="13.85546875" style="1" bestFit="1" customWidth="1"/>
    <col min="11002" max="11002" width="11.140625" style="1" bestFit="1" customWidth="1"/>
    <col min="11003" max="11003" width="13.85546875" style="1" bestFit="1" customWidth="1"/>
    <col min="11004" max="11004" width="3.7109375" style="1" bestFit="1" customWidth="1"/>
    <col min="11005" max="11005" width="7.5703125" style="1" bestFit="1" customWidth="1"/>
    <col min="11006" max="11006" width="16.7109375" style="1" bestFit="1" customWidth="1"/>
    <col min="11007" max="11008" width="12.28515625" style="1" bestFit="1" customWidth="1"/>
    <col min="11009" max="11253" width="11.42578125" style="1"/>
    <col min="11254" max="11254" width="0.7109375" style="1" customWidth="1"/>
    <col min="11255" max="11255" width="42.28515625" style="1" bestFit="1" customWidth="1"/>
    <col min="11256" max="11257" width="13.85546875" style="1" bestFit="1" customWidth="1"/>
    <col min="11258" max="11258" width="11.140625" style="1" bestFit="1" customWidth="1"/>
    <col min="11259" max="11259" width="13.85546875" style="1" bestFit="1" customWidth="1"/>
    <col min="11260" max="11260" width="3.7109375" style="1" bestFit="1" customWidth="1"/>
    <col min="11261" max="11261" width="7.5703125" style="1" bestFit="1" customWidth="1"/>
    <col min="11262" max="11262" width="16.7109375" style="1" bestFit="1" customWidth="1"/>
    <col min="11263" max="11264" width="12.28515625" style="1" bestFit="1" customWidth="1"/>
    <col min="11265" max="11509" width="11.42578125" style="1"/>
    <col min="11510" max="11510" width="0.7109375" style="1" customWidth="1"/>
    <col min="11511" max="11511" width="42.28515625" style="1" bestFit="1" customWidth="1"/>
    <col min="11512" max="11513" width="13.85546875" style="1" bestFit="1" customWidth="1"/>
    <col min="11514" max="11514" width="11.140625" style="1" bestFit="1" customWidth="1"/>
    <col min="11515" max="11515" width="13.85546875" style="1" bestFit="1" customWidth="1"/>
    <col min="11516" max="11516" width="3.7109375" style="1" bestFit="1" customWidth="1"/>
    <col min="11517" max="11517" width="7.5703125" style="1" bestFit="1" customWidth="1"/>
    <col min="11518" max="11518" width="16.7109375" style="1" bestFit="1" customWidth="1"/>
    <col min="11519" max="11520" width="12.28515625" style="1" bestFit="1" customWidth="1"/>
    <col min="11521" max="11765" width="11.42578125" style="1"/>
    <col min="11766" max="11766" width="0.7109375" style="1" customWidth="1"/>
    <col min="11767" max="11767" width="42.28515625" style="1" bestFit="1" customWidth="1"/>
    <col min="11768" max="11769" width="13.85546875" style="1" bestFit="1" customWidth="1"/>
    <col min="11770" max="11770" width="11.140625" style="1" bestFit="1" customWidth="1"/>
    <col min="11771" max="11771" width="13.85546875" style="1" bestFit="1" customWidth="1"/>
    <col min="11772" max="11772" width="3.7109375" style="1" bestFit="1" customWidth="1"/>
    <col min="11773" max="11773" width="7.5703125" style="1" bestFit="1" customWidth="1"/>
    <col min="11774" max="11774" width="16.7109375" style="1" bestFit="1" customWidth="1"/>
    <col min="11775" max="11776" width="12.28515625" style="1" bestFit="1" customWidth="1"/>
    <col min="11777" max="12021" width="11.42578125" style="1"/>
    <col min="12022" max="12022" width="0.7109375" style="1" customWidth="1"/>
    <col min="12023" max="12023" width="42.28515625" style="1" bestFit="1" customWidth="1"/>
    <col min="12024" max="12025" width="13.85546875" style="1" bestFit="1" customWidth="1"/>
    <col min="12026" max="12026" width="11.140625" style="1" bestFit="1" customWidth="1"/>
    <col min="12027" max="12027" width="13.85546875" style="1" bestFit="1" customWidth="1"/>
    <col min="12028" max="12028" width="3.7109375" style="1" bestFit="1" customWidth="1"/>
    <col min="12029" max="12029" width="7.5703125" style="1" bestFit="1" customWidth="1"/>
    <col min="12030" max="12030" width="16.7109375" style="1" bestFit="1" customWidth="1"/>
    <col min="12031" max="12032" width="12.28515625" style="1" bestFit="1" customWidth="1"/>
    <col min="12033" max="12277" width="11.42578125" style="1"/>
    <col min="12278" max="12278" width="0.7109375" style="1" customWidth="1"/>
    <col min="12279" max="12279" width="42.28515625" style="1" bestFit="1" customWidth="1"/>
    <col min="12280" max="12281" width="13.85546875" style="1" bestFit="1" customWidth="1"/>
    <col min="12282" max="12282" width="11.140625" style="1" bestFit="1" customWidth="1"/>
    <col min="12283" max="12283" width="13.85546875" style="1" bestFit="1" customWidth="1"/>
    <col min="12284" max="12284" width="3.7109375" style="1" bestFit="1" customWidth="1"/>
    <col min="12285" max="12285" width="7.5703125" style="1" bestFit="1" customWidth="1"/>
    <col min="12286" max="12286" width="16.7109375" style="1" bestFit="1" customWidth="1"/>
    <col min="12287" max="12288" width="12.28515625" style="1" bestFit="1" customWidth="1"/>
    <col min="12289" max="12533" width="11.42578125" style="1"/>
    <col min="12534" max="12534" width="0.7109375" style="1" customWidth="1"/>
    <col min="12535" max="12535" width="42.28515625" style="1" bestFit="1" customWidth="1"/>
    <col min="12536" max="12537" width="13.85546875" style="1" bestFit="1" customWidth="1"/>
    <col min="12538" max="12538" width="11.140625" style="1" bestFit="1" customWidth="1"/>
    <col min="12539" max="12539" width="13.85546875" style="1" bestFit="1" customWidth="1"/>
    <col min="12540" max="12540" width="3.7109375" style="1" bestFit="1" customWidth="1"/>
    <col min="12541" max="12541" width="7.5703125" style="1" bestFit="1" customWidth="1"/>
    <col min="12542" max="12542" width="16.7109375" style="1" bestFit="1" customWidth="1"/>
    <col min="12543" max="12544" width="12.28515625" style="1" bestFit="1" customWidth="1"/>
    <col min="12545" max="12789" width="11.42578125" style="1"/>
    <col min="12790" max="12790" width="0.7109375" style="1" customWidth="1"/>
    <col min="12791" max="12791" width="42.28515625" style="1" bestFit="1" customWidth="1"/>
    <col min="12792" max="12793" width="13.85546875" style="1" bestFit="1" customWidth="1"/>
    <col min="12794" max="12794" width="11.140625" style="1" bestFit="1" customWidth="1"/>
    <col min="12795" max="12795" width="13.85546875" style="1" bestFit="1" customWidth="1"/>
    <col min="12796" max="12796" width="3.7109375" style="1" bestFit="1" customWidth="1"/>
    <col min="12797" max="12797" width="7.5703125" style="1" bestFit="1" customWidth="1"/>
    <col min="12798" max="12798" width="16.7109375" style="1" bestFit="1" customWidth="1"/>
    <col min="12799" max="12800" width="12.28515625" style="1" bestFit="1" customWidth="1"/>
    <col min="12801" max="13045" width="11.42578125" style="1"/>
    <col min="13046" max="13046" width="0.7109375" style="1" customWidth="1"/>
    <col min="13047" max="13047" width="42.28515625" style="1" bestFit="1" customWidth="1"/>
    <col min="13048" max="13049" width="13.85546875" style="1" bestFit="1" customWidth="1"/>
    <col min="13050" max="13050" width="11.140625" style="1" bestFit="1" customWidth="1"/>
    <col min="13051" max="13051" width="13.85546875" style="1" bestFit="1" customWidth="1"/>
    <col min="13052" max="13052" width="3.7109375" style="1" bestFit="1" customWidth="1"/>
    <col min="13053" max="13053" width="7.5703125" style="1" bestFit="1" customWidth="1"/>
    <col min="13054" max="13054" width="16.7109375" style="1" bestFit="1" customWidth="1"/>
    <col min="13055" max="13056" width="12.28515625" style="1" bestFit="1" customWidth="1"/>
    <col min="13057" max="13301" width="11.42578125" style="1"/>
    <col min="13302" max="13302" width="0.7109375" style="1" customWidth="1"/>
    <col min="13303" max="13303" width="42.28515625" style="1" bestFit="1" customWidth="1"/>
    <col min="13304" max="13305" width="13.85546875" style="1" bestFit="1" customWidth="1"/>
    <col min="13306" max="13306" width="11.140625" style="1" bestFit="1" customWidth="1"/>
    <col min="13307" max="13307" width="13.85546875" style="1" bestFit="1" customWidth="1"/>
    <col min="13308" max="13308" width="3.7109375" style="1" bestFit="1" customWidth="1"/>
    <col min="13309" max="13309" width="7.5703125" style="1" bestFit="1" customWidth="1"/>
    <col min="13310" max="13310" width="16.7109375" style="1" bestFit="1" customWidth="1"/>
    <col min="13311" max="13312" width="12.28515625" style="1" bestFit="1" customWidth="1"/>
    <col min="13313" max="13557" width="11.42578125" style="1"/>
    <col min="13558" max="13558" width="0.7109375" style="1" customWidth="1"/>
    <col min="13559" max="13559" width="42.28515625" style="1" bestFit="1" customWidth="1"/>
    <col min="13560" max="13561" width="13.85546875" style="1" bestFit="1" customWidth="1"/>
    <col min="13562" max="13562" width="11.140625" style="1" bestFit="1" customWidth="1"/>
    <col min="13563" max="13563" width="13.85546875" style="1" bestFit="1" customWidth="1"/>
    <col min="13564" max="13564" width="3.7109375" style="1" bestFit="1" customWidth="1"/>
    <col min="13565" max="13565" width="7.5703125" style="1" bestFit="1" customWidth="1"/>
    <col min="13566" max="13566" width="16.7109375" style="1" bestFit="1" customWidth="1"/>
    <col min="13567" max="13568" width="12.28515625" style="1" bestFit="1" customWidth="1"/>
    <col min="13569" max="13813" width="11.42578125" style="1"/>
    <col min="13814" max="13814" width="0.7109375" style="1" customWidth="1"/>
    <col min="13815" max="13815" width="42.28515625" style="1" bestFit="1" customWidth="1"/>
    <col min="13816" max="13817" width="13.85546875" style="1" bestFit="1" customWidth="1"/>
    <col min="13818" max="13818" width="11.140625" style="1" bestFit="1" customWidth="1"/>
    <col min="13819" max="13819" width="13.85546875" style="1" bestFit="1" customWidth="1"/>
    <col min="13820" max="13820" width="3.7109375" style="1" bestFit="1" customWidth="1"/>
    <col min="13821" max="13821" width="7.5703125" style="1" bestFit="1" customWidth="1"/>
    <col min="13822" max="13822" width="16.7109375" style="1" bestFit="1" customWidth="1"/>
    <col min="13823" max="13824" width="12.28515625" style="1" bestFit="1" customWidth="1"/>
    <col min="13825" max="14069" width="11.42578125" style="1"/>
    <col min="14070" max="14070" width="0.7109375" style="1" customWidth="1"/>
    <col min="14071" max="14071" width="42.28515625" style="1" bestFit="1" customWidth="1"/>
    <col min="14072" max="14073" width="13.85546875" style="1" bestFit="1" customWidth="1"/>
    <col min="14074" max="14074" width="11.140625" style="1" bestFit="1" customWidth="1"/>
    <col min="14075" max="14075" width="13.85546875" style="1" bestFit="1" customWidth="1"/>
    <col min="14076" max="14076" width="3.7109375" style="1" bestFit="1" customWidth="1"/>
    <col min="14077" max="14077" width="7.5703125" style="1" bestFit="1" customWidth="1"/>
    <col min="14078" max="14078" width="16.7109375" style="1" bestFit="1" customWidth="1"/>
    <col min="14079" max="14080" width="12.28515625" style="1" bestFit="1" customWidth="1"/>
    <col min="14081" max="14325" width="11.42578125" style="1"/>
    <col min="14326" max="14326" width="0.7109375" style="1" customWidth="1"/>
    <col min="14327" max="14327" width="42.28515625" style="1" bestFit="1" customWidth="1"/>
    <col min="14328" max="14329" width="13.85546875" style="1" bestFit="1" customWidth="1"/>
    <col min="14330" max="14330" width="11.140625" style="1" bestFit="1" customWidth="1"/>
    <col min="14331" max="14331" width="13.85546875" style="1" bestFit="1" customWidth="1"/>
    <col min="14332" max="14332" width="3.7109375" style="1" bestFit="1" customWidth="1"/>
    <col min="14333" max="14333" width="7.5703125" style="1" bestFit="1" customWidth="1"/>
    <col min="14334" max="14334" width="16.7109375" style="1" bestFit="1" customWidth="1"/>
    <col min="14335" max="14336" width="12.28515625" style="1" bestFit="1" customWidth="1"/>
    <col min="14337" max="14581" width="11.42578125" style="1"/>
    <col min="14582" max="14582" width="0.7109375" style="1" customWidth="1"/>
    <col min="14583" max="14583" width="42.28515625" style="1" bestFit="1" customWidth="1"/>
    <col min="14584" max="14585" width="13.85546875" style="1" bestFit="1" customWidth="1"/>
    <col min="14586" max="14586" width="11.140625" style="1" bestFit="1" customWidth="1"/>
    <col min="14587" max="14587" width="13.85546875" style="1" bestFit="1" customWidth="1"/>
    <col min="14588" max="14588" width="3.7109375" style="1" bestFit="1" customWidth="1"/>
    <col min="14589" max="14589" width="7.5703125" style="1" bestFit="1" customWidth="1"/>
    <col min="14590" max="14590" width="16.7109375" style="1" bestFit="1" customWidth="1"/>
    <col min="14591" max="14592" width="12.28515625" style="1" bestFit="1" customWidth="1"/>
    <col min="14593" max="14837" width="11.42578125" style="1"/>
    <col min="14838" max="14838" width="0.7109375" style="1" customWidth="1"/>
    <col min="14839" max="14839" width="42.28515625" style="1" bestFit="1" customWidth="1"/>
    <col min="14840" max="14841" width="13.85546875" style="1" bestFit="1" customWidth="1"/>
    <col min="14842" max="14842" width="11.140625" style="1" bestFit="1" customWidth="1"/>
    <col min="14843" max="14843" width="13.85546875" style="1" bestFit="1" customWidth="1"/>
    <col min="14844" max="14844" width="3.7109375" style="1" bestFit="1" customWidth="1"/>
    <col min="14845" max="14845" width="7.5703125" style="1" bestFit="1" customWidth="1"/>
    <col min="14846" max="14846" width="16.7109375" style="1" bestFit="1" customWidth="1"/>
    <col min="14847" max="14848" width="12.28515625" style="1" bestFit="1" customWidth="1"/>
    <col min="14849" max="15093" width="11.42578125" style="1"/>
    <col min="15094" max="15094" width="0.7109375" style="1" customWidth="1"/>
    <col min="15095" max="15095" width="42.28515625" style="1" bestFit="1" customWidth="1"/>
    <col min="15096" max="15097" width="13.85546875" style="1" bestFit="1" customWidth="1"/>
    <col min="15098" max="15098" width="11.140625" style="1" bestFit="1" customWidth="1"/>
    <col min="15099" max="15099" width="13.85546875" style="1" bestFit="1" customWidth="1"/>
    <col min="15100" max="15100" width="3.7109375" style="1" bestFit="1" customWidth="1"/>
    <col min="15101" max="15101" width="7.5703125" style="1" bestFit="1" customWidth="1"/>
    <col min="15102" max="15102" width="16.7109375" style="1" bestFit="1" customWidth="1"/>
    <col min="15103" max="15104" width="12.28515625" style="1" bestFit="1" customWidth="1"/>
    <col min="15105" max="15349" width="11.42578125" style="1"/>
    <col min="15350" max="15350" width="0.7109375" style="1" customWidth="1"/>
    <col min="15351" max="15351" width="42.28515625" style="1" bestFit="1" customWidth="1"/>
    <col min="15352" max="15353" width="13.85546875" style="1" bestFit="1" customWidth="1"/>
    <col min="15354" max="15354" width="11.140625" style="1" bestFit="1" customWidth="1"/>
    <col min="15355" max="15355" width="13.85546875" style="1" bestFit="1" customWidth="1"/>
    <col min="15356" max="15356" width="3.7109375" style="1" bestFit="1" customWidth="1"/>
    <col min="15357" max="15357" width="7.5703125" style="1" bestFit="1" customWidth="1"/>
    <col min="15358" max="15358" width="16.7109375" style="1" bestFit="1" customWidth="1"/>
    <col min="15359" max="15360" width="12.28515625" style="1" bestFit="1" customWidth="1"/>
    <col min="15361" max="15605" width="11.42578125" style="1"/>
    <col min="15606" max="15606" width="0.7109375" style="1" customWidth="1"/>
    <col min="15607" max="15607" width="42.28515625" style="1" bestFit="1" customWidth="1"/>
    <col min="15608" max="15609" width="13.85546875" style="1" bestFit="1" customWidth="1"/>
    <col min="15610" max="15610" width="11.140625" style="1" bestFit="1" customWidth="1"/>
    <col min="15611" max="15611" width="13.85546875" style="1" bestFit="1" customWidth="1"/>
    <col min="15612" max="15612" width="3.7109375" style="1" bestFit="1" customWidth="1"/>
    <col min="15613" max="15613" width="7.5703125" style="1" bestFit="1" customWidth="1"/>
    <col min="15614" max="15614" width="16.7109375" style="1" bestFit="1" customWidth="1"/>
    <col min="15615" max="15616" width="12.28515625" style="1" bestFit="1" customWidth="1"/>
    <col min="15617" max="15861" width="11.42578125" style="1"/>
    <col min="15862" max="15862" width="0.7109375" style="1" customWidth="1"/>
    <col min="15863" max="15863" width="42.28515625" style="1" bestFit="1" customWidth="1"/>
    <col min="15864" max="15865" width="13.85546875" style="1" bestFit="1" customWidth="1"/>
    <col min="15866" max="15866" width="11.140625" style="1" bestFit="1" customWidth="1"/>
    <col min="15867" max="15867" width="13.85546875" style="1" bestFit="1" customWidth="1"/>
    <col min="15868" max="15868" width="3.7109375" style="1" bestFit="1" customWidth="1"/>
    <col min="15869" max="15869" width="7.5703125" style="1" bestFit="1" customWidth="1"/>
    <col min="15870" max="15870" width="16.7109375" style="1" bestFit="1" customWidth="1"/>
    <col min="15871" max="15872" width="12.28515625" style="1" bestFit="1" customWidth="1"/>
    <col min="15873" max="16117" width="11.42578125" style="1"/>
    <col min="16118" max="16118" width="0.7109375" style="1" customWidth="1"/>
    <col min="16119" max="16119" width="42.28515625" style="1" bestFit="1" customWidth="1"/>
    <col min="16120" max="16121" width="13.85546875" style="1" bestFit="1" customWidth="1"/>
    <col min="16122" max="16122" width="11.140625" style="1" bestFit="1" customWidth="1"/>
    <col min="16123" max="16123" width="13.85546875" style="1" bestFit="1" customWidth="1"/>
    <col min="16124" max="16124" width="3.7109375" style="1" bestFit="1" customWidth="1"/>
    <col min="16125" max="16125" width="7.5703125" style="1" bestFit="1" customWidth="1"/>
    <col min="16126" max="16126" width="16.7109375" style="1" bestFit="1" customWidth="1"/>
    <col min="16127" max="16128" width="12.28515625" style="1" bestFit="1" customWidth="1"/>
    <col min="16129" max="16358" width="11.42578125" style="1"/>
    <col min="16359" max="16382" width="11.42578125" style="1" customWidth="1"/>
    <col min="16383" max="16384" width="11.42578125" style="1"/>
  </cols>
  <sheetData>
    <row r="2" spans="2:29" x14ac:dyDescent="0.25">
      <c r="B2" s="366" t="s">
        <v>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2:29" x14ac:dyDescent="0.25">
      <c r="B3" s="366" t="s">
        <v>1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2:29" x14ac:dyDescent="0.25">
      <c r="B4" s="366" t="s">
        <v>2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2:29" x14ac:dyDescent="0.25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2:29" ht="16.5" thickBot="1" x14ac:dyDescent="0.3">
      <c r="B6" s="369" t="s">
        <v>89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</row>
    <row r="7" spans="2:29" x14ac:dyDescent="0.25">
      <c r="B7" s="360" t="s">
        <v>3</v>
      </c>
      <c r="C7" s="107" t="s">
        <v>90</v>
      </c>
      <c r="D7" s="108" t="s">
        <v>91</v>
      </c>
      <c r="E7" s="109" t="s">
        <v>92</v>
      </c>
      <c r="F7" s="109" t="s">
        <v>93</v>
      </c>
      <c r="G7" s="109" t="s">
        <v>94</v>
      </c>
      <c r="H7" s="109" t="s">
        <v>54</v>
      </c>
      <c r="I7" s="109" t="s">
        <v>51</v>
      </c>
      <c r="J7" s="109" t="s">
        <v>55</v>
      </c>
      <c r="K7" s="110" t="s">
        <v>52</v>
      </c>
      <c r="L7" s="110" t="s">
        <v>95</v>
      </c>
      <c r="M7" s="110" t="s">
        <v>95</v>
      </c>
      <c r="N7" s="111" t="s">
        <v>96</v>
      </c>
      <c r="P7" s="111" t="s">
        <v>97</v>
      </c>
      <c r="Q7" s="110" t="s">
        <v>98</v>
      </c>
      <c r="R7" s="110" t="s">
        <v>99</v>
      </c>
      <c r="S7" s="110" t="s">
        <v>100</v>
      </c>
      <c r="T7" s="111" t="s">
        <v>56</v>
      </c>
      <c r="U7" s="111" t="s">
        <v>53</v>
      </c>
      <c r="V7" s="111" t="s">
        <v>101</v>
      </c>
    </row>
    <row r="8" spans="2:29" ht="15.6" customHeight="1" thickBot="1" x14ac:dyDescent="0.3">
      <c r="B8" s="361"/>
      <c r="C8" s="112" t="s">
        <v>102</v>
      </c>
      <c r="D8" s="113" t="s">
        <v>103</v>
      </c>
      <c r="E8" s="114" t="s">
        <v>104</v>
      </c>
      <c r="F8" s="114" t="s">
        <v>104</v>
      </c>
      <c r="G8" s="114" t="s">
        <v>105</v>
      </c>
      <c r="H8" s="114" t="s">
        <v>104</v>
      </c>
      <c r="I8" s="114" t="s">
        <v>105</v>
      </c>
      <c r="J8" s="114" t="s">
        <v>104</v>
      </c>
      <c r="K8" s="114" t="s">
        <v>104</v>
      </c>
      <c r="L8" s="115" t="s">
        <v>106</v>
      </c>
      <c r="M8" s="115" t="s">
        <v>107</v>
      </c>
      <c r="N8" s="116" t="s">
        <v>108</v>
      </c>
      <c r="P8" s="116" t="s">
        <v>53</v>
      </c>
      <c r="Q8" s="117" t="s">
        <v>53</v>
      </c>
      <c r="R8" s="117" t="s">
        <v>53</v>
      </c>
      <c r="S8" s="118" t="s">
        <v>53</v>
      </c>
      <c r="T8" s="116" t="s">
        <v>109</v>
      </c>
      <c r="U8" s="116" t="s">
        <v>108</v>
      </c>
      <c r="V8" s="116" t="s">
        <v>110</v>
      </c>
    </row>
    <row r="9" spans="2:29" x14ac:dyDescent="0.25">
      <c r="B9" s="18" t="s">
        <v>7</v>
      </c>
      <c r="C9" s="119">
        <f>SUM(C10:C13)</f>
        <v>10672638758.052338</v>
      </c>
      <c r="D9" s="120">
        <f t="shared" ref="D9:K9" si="0">SUM(D10:D13)</f>
        <v>814112424</v>
      </c>
      <c r="E9" s="121">
        <f t="shared" si="0"/>
        <v>0</v>
      </c>
      <c r="F9" s="122">
        <f t="shared" si="0"/>
        <v>10000000</v>
      </c>
      <c r="G9" s="122">
        <f t="shared" si="0"/>
        <v>0</v>
      </c>
      <c r="H9" s="122">
        <f t="shared" si="0"/>
        <v>0</v>
      </c>
      <c r="I9" s="122">
        <f t="shared" si="0"/>
        <v>0</v>
      </c>
      <c r="J9" s="122">
        <f t="shared" si="0"/>
        <v>157259579</v>
      </c>
      <c r="K9" s="122">
        <f t="shared" si="0"/>
        <v>38690000</v>
      </c>
      <c r="L9" s="123"/>
      <c r="M9" s="124"/>
      <c r="N9" s="125">
        <f>SUM(N10:N13)</f>
        <v>11692700761.052338</v>
      </c>
      <c r="P9" s="126">
        <f t="shared" ref="P9:T9" si="1">SUM(P10:P13)</f>
        <v>1470111817</v>
      </c>
      <c r="Q9" s="127">
        <f t="shared" si="1"/>
        <v>1216494985</v>
      </c>
      <c r="R9" s="127">
        <f t="shared" si="1"/>
        <v>1260817268</v>
      </c>
      <c r="S9" s="128">
        <f>SUM(S10:S13)</f>
        <v>1492381665.25</v>
      </c>
      <c r="T9" s="126">
        <f t="shared" si="1"/>
        <v>5656257277.8000002</v>
      </c>
      <c r="U9" s="125">
        <f>SUM(U10:U13)</f>
        <v>11096063013.049999</v>
      </c>
      <c r="V9" s="129">
        <f>SUM(V10:V13)</f>
        <v>596637748.00233746</v>
      </c>
      <c r="X9" s="130"/>
      <c r="Y9" s="130"/>
      <c r="AB9" s="131"/>
      <c r="AC9" s="130"/>
    </row>
    <row r="10" spans="2:29" x14ac:dyDescent="0.25">
      <c r="B10" s="3" t="s">
        <v>8</v>
      </c>
      <c r="C10" s="132">
        <v>5533809852</v>
      </c>
      <c r="D10" s="133"/>
      <c r="E10" s="134">
        <v>0</v>
      </c>
      <c r="F10" s="135"/>
      <c r="G10" s="135"/>
      <c r="H10" s="135"/>
      <c r="I10" s="135"/>
      <c r="J10" s="135"/>
      <c r="K10" s="135"/>
      <c r="L10" s="134"/>
      <c r="M10" s="136"/>
      <c r="N10" s="137">
        <f>SUM(C10:M10)</f>
        <v>5533809852</v>
      </c>
      <c r="P10" s="137">
        <v>1352655201</v>
      </c>
      <c r="Q10" s="138">
        <v>1183029752</v>
      </c>
      <c r="R10" s="139">
        <v>1237846824</v>
      </c>
      <c r="S10" s="140">
        <v>1156468611</v>
      </c>
      <c r="T10" s="233">
        <f>10+1</f>
        <v>11</v>
      </c>
      <c r="U10" s="137">
        <f>SUM(P10:T10)</f>
        <v>4930000399</v>
      </c>
      <c r="V10" s="140">
        <f>+N10-U10</f>
        <v>603809453</v>
      </c>
      <c r="X10" s="130"/>
      <c r="Y10" s="130"/>
      <c r="Z10" s="130"/>
      <c r="AB10" s="131"/>
      <c r="AC10" s="130"/>
    </row>
    <row r="11" spans="2:29" x14ac:dyDescent="0.25">
      <c r="B11" s="3" t="s">
        <v>49</v>
      </c>
      <c r="C11" s="132">
        <v>113390147</v>
      </c>
      <c r="D11" s="133"/>
      <c r="E11" s="134">
        <v>0</v>
      </c>
      <c r="F11" s="135"/>
      <c r="G11" s="135"/>
      <c r="H11" s="135"/>
      <c r="I11" s="135"/>
      <c r="J11" s="135">
        <v>89259579</v>
      </c>
      <c r="K11" s="135">
        <v>24510000</v>
      </c>
      <c r="L11" s="134"/>
      <c r="M11" s="136"/>
      <c r="N11" s="137">
        <f t="shared" ref="N11:N13" si="2">SUM(C11:M11)</f>
        <v>227159726</v>
      </c>
      <c r="P11" s="141">
        <v>82600649</v>
      </c>
      <c r="Q11" s="138">
        <v>19365985</v>
      </c>
      <c r="R11" s="139">
        <v>10873371</v>
      </c>
      <c r="S11" s="142">
        <v>110764764</v>
      </c>
      <c r="T11" s="141"/>
      <c r="U11" s="137">
        <f t="shared" ref="U11:U13" si="3">SUM(P11:T11)</f>
        <v>223604769</v>
      </c>
      <c r="V11" s="140">
        <f>+N11-U11</f>
        <v>3554957</v>
      </c>
      <c r="X11" s="130"/>
      <c r="Y11" s="130"/>
      <c r="Z11" s="130"/>
      <c r="AB11" s="131"/>
      <c r="AC11" s="130"/>
    </row>
    <row r="12" spans="2:29" x14ac:dyDescent="0.25">
      <c r="B12" s="3" t="s">
        <v>9</v>
      </c>
      <c r="C12" s="143">
        <v>50000000</v>
      </c>
      <c r="D12" s="144"/>
      <c r="E12" s="145">
        <v>0</v>
      </c>
      <c r="F12" s="146">
        <v>10000000</v>
      </c>
      <c r="G12" s="146"/>
      <c r="H12" s="146"/>
      <c r="I12" s="146"/>
      <c r="J12" s="146">
        <v>68000000</v>
      </c>
      <c r="K12" s="146">
        <v>14180000</v>
      </c>
      <c r="L12" s="145"/>
      <c r="M12" s="147"/>
      <c r="N12" s="137">
        <f t="shared" si="2"/>
        <v>142180000</v>
      </c>
      <c r="P12" s="137">
        <v>34855967</v>
      </c>
      <c r="Q12" s="138">
        <v>14099248</v>
      </c>
      <c r="R12" s="139">
        <v>12097073</v>
      </c>
      <c r="S12" s="142">
        <v>91854374</v>
      </c>
      <c r="T12" s="141">
        <v>0</v>
      </c>
      <c r="U12" s="137">
        <f t="shared" si="3"/>
        <v>152906662</v>
      </c>
      <c r="V12" s="140">
        <f>+N12-U12</f>
        <v>-10726662</v>
      </c>
      <c r="X12" s="130"/>
      <c r="Y12" s="130"/>
      <c r="Z12" s="130"/>
      <c r="AB12" s="131"/>
      <c r="AC12" s="130"/>
    </row>
    <row r="13" spans="2:29" x14ac:dyDescent="0.25">
      <c r="B13" s="3" t="s">
        <v>10</v>
      </c>
      <c r="C13" s="143">
        <v>4975438759.0523376</v>
      </c>
      <c r="D13" s="144">
        <v>814112424</v>
      </c>
      <c r="E13" s="145">
        <v>0</v>
      </c>
      <c r="F13" s="146"/>
      <c r="G13" s="146"/>
      <c r="H13" s="146"/>
      <c r="I13" s="146"/>
      <c r="J13" s="146"/>
      <c r="K13" s="146"/>
      <c r="L13" s="145"/>
      <c r="M13" s="147"/>
      <c r="N13" s="137">
        <f t="shared" si="2"/>
        <v>5789551183.0523376</v>
      </c>
      <c r="P13" s="137">
        <v>0</v>
      </c>
      <c r="Q13" s="138"/>
      <c r="R13" s="139"/>
      <c r="S13" s="142">
        <v>133293916.25</v>
      </c>
      <c r="T13" s="141">
        <v>5656257266.8000002</v>
      </c>
      <c r="U13" s="137">
        <f t="shared" si="3"/>
        <v>5789551183.0500002</v>
      </c>
      <c r="V13" s="140">
        <f>+N13-U13</f>
        <v>2.3374557495117188E-3</v>
      </c>
      <c r="X13" s="130"/>
      <c r="Y13" s="130"/>
      <c r="Z13" s="130"/>
      <c r="AB13" s="131"/>
      <c r="AC13" s="130"/>
    </row>
    <row r="14" spans="2:29" x14ac:dyDescent="0.25">
      <c r="B14" s="2" t="s">
        <v>11</v>
      </c>
      <c r="C14" s="148">
        <f>+SUM(C15:C16)</f>
        <v>75578375</v>
      </c>
      <c r="D14" s="149">
        <f t="shared" ref="D14:J14" si="4">+SUM(D15:D16)</f>
        <v>0</v>
      </c>
      <c r="E14" s="150">
        <f t="shared" si="4"/>
        <v>0</v>
      </c>
      <c r="F14" s="151">
        <f t="shared" si="4"/>
        <v>180000000</v>
      </c>
      <c r="G14" s="151">
        <f t="shared" si="4"/>
        <v>0</v>
      </c>
      <c r="H14" s="151">
        <f t="shared" si="4"/>
        <v>0</v>
      </c>
      <c r="I14" s="151">
        <f t="shared" ref="I14" si="5">+SUM(I15:I16)</f>
        <v>0</v>
      </c>
      <c r="J14" s="151">
        <f t="shared" si="4"/>
        <v>0</v>
      </c>
      <c r="K14" s="151">
        <f t="shared" ref="K14" si="6">+SUM(K15:K16)</f>
        <v>6643000</v>
      </c>
      <c r="L14" s="150"/>
      <c r="M14" s="152"/>
      <c r="N14" s="153">
        <f>+SUM(N15:N16)</f>
        <v>262221375</v>
      </c>
      <c r="P14" s="153">
        <f t="shared" ref="P14:T14" si="7">+SUM(P15:P16)</f>
        <v>64134552</v>
      </c>
      <c r="Q14" s="154">
        <f t="shared" si="7"/>
        <v>66143174</v>
      </c>
      <c r="R14" s="154">
        <f t="shared" si="7"/>
        <v>50099449</v>
      </c>
      <c r="S14" s="155">
        <f t="shared" si="7"/>
        <v>41894307</v>
      </c>
      <c r="T14" s="153">
        <f t="shared" si="7"/>
        <v>0</v>
      </c>
      <c r="U14" s="153">
        <f>+SUM(U15:U16)</f>
        <v>222271482</v>
      </c>
      <c r="V14" s="156">
        <f>+SUM(V15:V16)</f>
        <v>39949893</v>
      </c>
      <c r="X14" s="130"/>
      <c r="Y14" s="130"/>
      <c r="Z14" s="130"/>
      <c r="AB14" s="131"/>
      <c r="AC14" s="130"/>
    </row>
    <row r="15" spans="2:29" x14ac:dyDescent="0.25">
      <c r="B15" s="3" t="s">
        <v>12</v>
      </c>
      <c r="C15" s="132">
        <v>3000000</v>
      </c>
      <c r="D15" s="133"/>
      <c r="E15" s="134"/>
      <c r="F15" s="135">
        <v>0</v>
      </c>
      <c r="G15" s="135"/>
      <c r="H15" s="135"/>
      <c r="I15" s="135"/>
      <c r="J15" s="135"/>
      <c r="K15" s="135">
        <v>6643000</v>
      </c>
      <c r="L15" s="134"/>
      <c r="M15" s="136"/>
      <c r="N15" s="141">
        <f t="shared" ref="N15:N16" si="8">SUM(C15:M15)</f>
        <v>9643000</v>
      </c>
      <c r="P15" s="141">
        <v>799181</v>
      </c>
      <c r="Q15" s="138">
        <v>543539</v>
      </c>
      <c r="R15" s="138">
        <v>751980</v>
      </c>
      <c r="S15" s="142">
        <v>8695703</v>
      </c>
      <c r="T15" s="141" t="s">
        <v>111</v>
      </c>
      <c r="U15" s="137">
        <f t="shared" ref="U15:U16" si="9">SUM(P15:T15)</f>
        <v>10790403</v>
      </c>
      <c r="V15" s="140">
        <f>+N15-U15</f>
        <v>-1147403</v>
      </c>
      <c r="X15" s="130"/>
      <c r="Y15" s="130"/>
      <c r="Z15" s="130"/>
      <c r="AB15" s="131"/>
      <c r="AC15" s="130"/>
    </row>
    <row r="16" spans="2:29" x14ac:dyDescent="0.25">
      <c r="B16" s="3" t="s">
        <v>13</v>
      </c>
      <c r="C16" s="132">
        <v>72578375</v>
      </c>
      <c r="D16" s="133"/>
      <c r="E16" s="134"/>
      <c r="F16" s="135">
        <v>180000000</v>
      </c>
      <c r="G16" s="135"/>
      <c r="H16" s="135"/>
      <c r="I16" s="135"/>
      <c r="J16" s="135"/>
      <c r="K16" s="135"/>
      <c r="L16" s="134"/>
      <c r="M16" s="136"/>
      <c r="N16" s="141">
        <f t="shared" si="8"/>
        <v>252578375</v>
      </c>
      <c r="P16" s="141">
        <v>63335371</v>
      </c>
      <c r="Q16" s="138">
        <v>65599635</v>
      </c>
      <c r="R16" s="138">
        <v>49347469</v>
      </c>
      <c r="S16" s="142">
        <v>33198604</v>
      </c>
      <c r="T16" s="141"/>
      <c r="U16" s="137">
        <f t="shared" si="9"/>
        <v>211481079</v>
      </c>
      <c r="V16" s="140">
        <f>+N16-U16</f>
        <v>41097296</v>
      </c>
      <c r="X16" s="130"/>
      <c r="Y16" s="130"/>
      <c r="Z16" s="130"/>
      <c r="AB16" s="131"/>
      <c r="AC16" s="130"/>
    </row>
    <row r="17" spans="2:29" x14ac:dyDescent="0.25">
      <c r="B17" s="2" t="s">
        <v>14</v>
      </c>
      <c r="C17" s="148">
        <f>SUM(C9+C14)</f>
        <v>10748217133.052338</v>
      </c>
      <c r="D17" s="149">
        <f t="shared" ref="D17:M17" si="10">SUM(D9+D14)</f>
        <v>814112424</v>
      </c>
      <c r="E17" s="150">
        <f t="shared" si="10"/>
        <v>0</v>
      </c>
      <c r="F17" s="151">
        <f t="shared" si="10"/>
        <v>190000000</v>
      </c>
      <c r="G17" s="151">
        <f t="shared" si="10"/>
        <v>0</v>
      </c>
      <c r="H17" s="151">
        <f t="shared" si="10"/>
        <v>0</v>
      </c>
      <c r="I17" s="151">
        <f t="shared" si="10"/>
        <v>0</v>
      </c>
      <c r="J17" s="151">
        <f t="shared" si="10"/>
        <v>157259579</v>
      </c>
      <c r="K17" s="151">
        <f t="shared" si="10"/>
        <v>45333000</v>
      </c>
      <c r="L17" s="150">
        <f t="shared" si="10"/>
        <v>0</v>
      </c>
      <c r="M17" s="151">
        <f t="shared" si="10"/>
        <v>0</v>
      </c>
      <c r="N17" s="153">
        <f>SUM(N9+N14)</f>
        <v>11954922136.052338</v>
      </c>
      <c r="P17" s="153">
        <f t="shared" ref="P17:T17" si="11">SUM(P9+P14)</f>
        <v>1534246369</v>
      </c>
      <c r="Q17" s="154">
        <f t="shared" si="11"/>
        <v>1282638159</v>
      </c>
      <c r="R17" s="154">
        <f t="shared" si="11"/>
        <v>1310916717</v>
      </c>
      <c r="S17" s="155">
        <f t="shared" si="11"/>
        <v>1534275972.25</v>
      </c>
      <c r="T17" s="153">
        <f t="shared" si="11"/>
        <v>5656257277.8000002</v>
      </c>
      <c r="U17" s="153">
        <f>SUM(U9+U14)</f>
        <v>11318334495.049999</v>
      </c>
      <c r="V17" s="156">
        <f>SUM(V9+V14)</f>
        <v>636587641.00233746</v>
      </c>
      <c r="X17" s="130"/>
      <c r="Y17" s="130"/>
      <c r="AB17" s="131"/>
      <c r="AC17" s="130"/>
    </row>
    <row r="18" spans="2:29" x14ac:dyDescent="0.25">
      <c r="B18" s="4" t="s">
        <v>15</v>
      </c>
      <c r="C18" s="148"/>
      <c r="D18" s="149"/>
      <c r="E18" s="150"/>
      <c r="F18" s="151"/>
      <c r="G18" s="151"/>
      <c r="H18" s="151"/>
      <c r="I18" s="151"/>
      <c r="J18" s="151"/>
      <c r="K18" s="151"/>
      <c r="L18" s="150"/>
      <c r="M18" s="151"/>
      <c r="N18" s="153"/>
      <c r="P18" s="153"/>
      <c r="Q18" s="154"/>
      <c r="R18" s="154"/>
      <c r="S18" s="155"/>
      <c r="T18" s="153"/>
      <c r="U18" s="153"/>
      <c r="V18" s="156"/>
      <c r="X18" s="130"/>
      <c r="Y18" s="130"/>
      <c r="AB18" s="131"/>
      <c r="AC18" s="130"/>
    </row>
    <row r="19" spans="2:29" x14ac:dyDescent="0.25">
      <c r="B19" s="5" t="s">
        <v>16</v>
      </c>
      <c r="C19" s="148">
        <f>+C20+C32</f>
        <v>1039987526</v>
      </c>
      <c r="D19" s="149">
        <f t="shared" ref="D19:M19" si="12">+D20+D32</f>
        <v>0</v>
      </c>
      <c r="E19" s="150">
        <f t="shared" si="12"/>
        <v>13040863.488</v>
      </c>
      <c r="F19" s="151">
        <f t="shared" si="12"/>
        <v>9702500</v>
      </c>
      <c r="G19" s="151">
        <f t="shared" si="12"/>
        <v>0</v>
      </c>
      <c r="H19" s="151">
        <f t="shared" si="12"/>
        <v>0</v>
      </c>
      <c r="I19" s="151">
        <f t="shared" si="12"/>
        <v>-142194935</v>
      </c>
      <c r="J19" s="151">
        <f t="shared" si="12"/>
        <v>0</v>
      </c>
      <c r="K19" s="151">
        <f t="shared" si="12"/>
        <v>0</v>
      </c>
      <c r="L19" s="150">
        <f t="shared" si="12"/>
        <v>0</v>
      </c>
      <c r="M19" s="151">
        <f t="shared" si="12"/>
        <v>0</v>
      </c>
      <c r="N19" s="153">
        <f>+N20+N32</f>
        <v>920535954.48799992</v>
      </c>
      <c r="P19" s="153">
        <f t="shared" ref="P19:T19" si="13">+P20+P32</f>
        <v>220440845</v>
      </c>
      <c r="Q19" s="154">
        <f t="shared" si="13"/>
        <v>189396541</v>
      </c>
      <c r="R19" s="154">
        <f t="shared" si="13"/>
        <v>194028165</v>
      </c>
      <c r="S19" s="155">
        <f t="shared" si="13"/>
        <v>239158378</v>
      </c>
      <c r="T19" s="153">
        <f t="shared" si="13"/>
        <v>0</v>
      </c>
      <c r="U19" s="153">
        <f>+U20+U32</f>
        <v>843023929</v>
      </c>
      <c r="V19" s="156">
        <f>+V20+V32</f>
        <v>77512025.488000005</v>
      </c>
      <c r="X19" s="130"/>
      <c r="Y19" s="130"/>
      <c r="AB19" s="131"/>
      <c r="AC19" s="130"/>
    </row>
    <row r="20" spans="2:29" x14ac:dyDescent="0.25">
      <c r="B20" s="6" t="s">
        <v>17</v>
      </c>
      <c r="C20" s="148">
        <f>SUM(C21:C31)</f>
        <v>662663636</v>
      </c>
      <c r="D20" s="149">
        <f t="shared" ref="D20:K20" si="14">SUM(D21:D31)</f>
        <v>0</v>
      </c>
      <c r="E20" s="150">
        <f t="shared" si="14"/>
        <v>2741678.4879999994</v>
      </c>
      <c r="F20" s="151">
        <f t="shared" si="14"/>
        <v>0</v>
      </c>
      <c r="G20" s="151">
        <f t="shared" si="14"/>
        <v>0</v>
      </c>
      <c r="H20" s="151">
        <f t="shared" si="14"/>
        <v>0</v>
      </c>
      <c r="I20" s="151">
        <f t="shared" si="14"/>
        <v>-2412899</v>
      </c>
      <c r="J20" s="151">
        <f t="shared" si="14"/>
        <v>0</v>
      </c>
      <c r="K20" s="151">
        <f t="shared" si="14"/>
        <v>0</v>
      </c>
      <c r="L20" s="150">
        <f>SUM(L21:L31)</f>
        <v>0</v>
      </c>
      <c r="M20" s="151">
        <f>SUM(M21:M31)</f>
        <v>0</v>
      </c>
      <c r="N20" s="153">
        <f>SUM(N21:N31)</f>
        <v>662992415.48799992</v>
      </c>
      <c r="P20" s="153">
        <f t="shared" ref="P20:T20" si="15">SUM(P21:P31)</f>
        <v>158816379</v>
      </c>
      <c r="Q20" s="154">
        <f t="shared" si="15"/>
        <v>162368474</v>
      </c>
      <c r="R20" s="154">
        <f t="shared" si="15"/>
        <v>158307815</v>
      </c>
      <c r="S20" s="155">
        <f t="shared" si="15"/>
        <v>166715489</v>
      </c>
      <c r="T20" s="153">
        <f t="shared" si="15"/>
        <v>0</v>
      </c>
      <c r="U20" s="153">
        <f>SUM(U21:U31)</f>
        <v>646208157</v>
      </c>
      <c r="V20" s="156">
        <f>SUM(V21:V31)</f>
        <v>16784258.487999998</v>
      </c>
      <c r="X20" s="130"/>
      <c r="Y20" s="130"/>
      <c r="AB20" s="131"/>
      <c r="AC20" s="130"/>
    </row>
    <row r="21" spans="2:29" x14ac:dyDescent="0.25">
      <c r="B21" s="7" t="s">
        <v>18</v>
      </c>
      <c r="C21" s="132">
        <v>357754192</v>
      </c>
      <c r="D21" s="157"/>
      <c r="E21" s="158">
        <v>1106101</v>
      </c>
      <c r="F21" s="159"/>
      <c r="G21" s="159"/>
      <c r="H21" s="159"/>
      <c r="I21" s="159">
        <v>0</v>
      </c>
      <c r="J21" s="159"/>
      <c r="K21" s="159"/>
      <c r="L21" s="158">
        <v>-692045</v>
      </c>
      <c r="M21" s="160">
        <v>-153459</v>
      </c>
      <c r="N21" s="161">
        <f t="shared" ref="N21:N31" si="16">SUM(C21:M21)</f>
        <v>358014789</v>
      </c>
      <c r="P21" s="161">
        <v>81596155</v>
      </c>
      <c r="Q21" s="162">
        <v>89981816</v>
      </c>
      <c r="R21" s="162">
        <v>87765211</v>
      </c>
      <c r="S21" s="142">
        <v>89321896</v>
      </c>
      <c r="T21" s="141"/>
      <c r="U21" s="137">
        <f t="shared" ref="U21:U31" si="17">SUM(P21:T21)</f>
        <v>348665078</v>
      </c>
      <c r="V21" s="140">
        <f t="shared" ref="V21:V31" si="18">+N21-U21</f>
        <v>9349711</v>
      </c>
      <c r="X21" s="130"/>
      <c r="Y21" s="130"/>
      <c r="AB21" s="131"/>
      <c r="AC21" s="130"/>
    </row>
    <row r="22" spans="2:29" x14ac:dyDescent="0.25">
      <c r="B22" s="7" t="s">
        <v>19</v>
      </c>
      <c r="C22" s="132">
        <v>14471663</v>
      </c>
      <c r="D22" s="133"/>
      <c r="E22" s="134">
        <v>41951</v>
      </c>
      <c r="F22" s="135"/>
      <c r="G22" s="135"/>
      <c r="H22" s="135"/>
      <c r="I22" s="135">
        <v>0</v>
      </c>
      <c r="J22" s="135"/>
      <c r="K22" s="135"/>
      <c r="L22" s="134">
        <v>685543</v>
      </c>
      <c r="M22" s="160">
        <v>153459</v>
      </c>
      <c r="N22" s="141">
        <f t="shared" si="16"/>
        <v>15352616</v>
      </c>
      <c r="P22" s="141">
        <v>3428988</v>
      </c>
      <c r="Q22" s="138">
        <v>3795674</v>
      </c>
      <c r="R22" s="138">
        <v>4344106</v>
      </c>
      <c r="S22" s="142">
        <v>3758539</v>
      </c>
      <c r="T22" s="141"/>
      <c r="U22" s="137">
        <f t="shared" si="17"/>
        <v>15327307</v>
      </c>
      <c r="V22" s="140">
        <f t="shared" si="18"/>
        <v>25309</v>
      </c>
      <c r="X22" s="130"/>
      <c r="Y22" s="130"/>
      <c r="AB22" s="131"/>
      <c r="AC22" s="130"/>
    </row>
    <row r="23" spans="2:29" x14ac:dyDescent="0.25">
      <c r="B23" s="8" t="s">
        <v>20</v>
      </c>
      <c r="C23" s="132">
        <v>3657621</v>
      </c>
      <c r="D23" s="133"/>
      <c r="E23" s="134">
        <v>34834.48799999943</v>
      </c>
      <c r="F23" s="135"/>
      <c r="G23" s="135"/>
      <c r="H23" s="135"/>
      <c r="I23" s="135">
        <v>0</v>
      </c>
      <c r="J23" s="135"/>
      <c r="K23" s="135"/>
      <c r="L23" s="134">
        <v>1</v>
      </c>
      <c r="M23" s="136"/>
      <c r="N23" s="141">
        <f t="shared" si="16"/>
        <v>3692456.4879999994</v>
      </c>
      <c r="P23" s="137">
        <v>839974</v>
      </c>
      <c r="Q23" s="138">
        <v>925686</v>
      </c>
      <c r="R23" s="138">
        <v>925686</v>
      </c>
      <c r="S23" s="142">
        <v>918829</v>
      </c>
      <c r="T23" s="141"/>
      <c r="U23" s="137">
        <f t="shared" si="17"/>
        <v>3610175</v>
      </c>
      <c r="V23" s="140">
        <f t="shared" si="18"/>
        <v>82281.48799999943</v>
      </c>
      <c r="X23" s="130"/>
      <c r="Y23" s="130"/>
      <c r="AB23" s="131"/>
      <c r="AC23" s="130"/>
    </row>
    <row r="24" spans="2:29" x14ac:dyDescent="0.25">
      <c r="B24" s="7" t="s">
        <v>21</v>
      </c>
      <c r="C24" s="132">
        <v>29248130</v>
      </c>
      <c r="D24" s="133"/>
      <c r="E24" s="134">
        <v>86796</v>
      </c>
      <c r="F24" s="135"/>
      <c r="G24" s="135"/>
      <c r="H24" s="135"/>
      <c r="I24" s="135">
        <v>0</v>
      </c>
      <c r="J24" s="135"/>
      <c r="K24" s="135"/>
      <c r="L24" s="134"/>
      <c r="M24" s="136"/>
      <c r="N24" s="141">
        <f t="shared" si="16"/>
        <v>29334926</v>
      </c>
      <c r="P24" s="141">
        <v>6655103</v>
      </c>
      <c r="Q24" s="138">
        <v>7394261</v>
      </c>
      <c r="R24" s="138">
        <v>7394260</v>
      </c>
      <c r="S24" s="142">
        <v>7319424</v>
      </c>
      <c r="T24" s="141"/>
      <c r="U24" s="137">
        <f t="shared" si="17"/>
        <v>28763048</v>
      </c>
      <c r="V24" s="140">
        <f t="shared" si="18"/>
        <v>571878</v>
      </c>
      <c r="X24" s="130"/>
      <c r="Y24" s="130"/>
      <c r="AB24" s="131"/>
      <c r="AC24" s="130"/>
    </row>
    <row r="25" spans="2:29" x14ac:dyDescent="0.25">
      <c r="B25" s="7" t="s">
        <v>22</v>
      </c>
      <c r="C25" s="132">
        <v>114424000</v>
      </c>
      <c r="D25" s="133"/>
      <c r="E25" s="134">
        <v>259200</v>
      </c>
      <c r="F25" s="135"/>
      <c r="G25" s="135"/>
      <c r="H25" s="135"/>
      <c r="I25" s="135">
        <v>-2400000</v>
      </c>
      <c r="J25" s="135"/>
      <c r="K25" s="135"/>
      <c r="L25" s="134"/>
      <c r="M25" s="136"/>
      <c r="N25" s="141">
        <f t="shared" si="16"/>
        <v>112283200</v>
      </c>
      <c r="P25" s="141">
        <v>35020800</v>
      </c>
      <c r="Q25" s="138">
        <v>22420800</v>
      </c>
      <c r="R25" s="138">
        <v>22420800</v>
      </c>
      <c r="S25" s="142">
        <v>28670800</v>
      </c>
      <c r="T25" s="141"/>
      <c r="U25" s="137">
        <f t="shared" si="17"/>
        <v>108533200</v>
      </c>
      <c r="V25" s="140">
        <f t="shared" si="18"/>
        <v>3750000</v>
      </c>
      <c r="X25" s="130"/>
      <c r="Y25" s="130"/>
      <c r="AB25" s="131"/>
      <c r="AC25" s="130"/>
    </row>
    <row r="26" spans="2:29" x14ac:dyDescent="0.25">
      <c r="B26" s="7" t="s">
        <v>23</v>
      </c>
      <c r="C26" s="132">
        <v>2115900</v>
      </c>
      <c r="D26" s="133"/>
      <c r="E26" s="134">
        <v>786000</v>
      </c>
      <c r="F26" s="135"/>
      <c r="G26" s="135"/>
      <c r="H26" s="135"/>
      <c r="I26" s="135">
        <v>-12899</v>
      </c>
      <c r="J26" s="135"/>
      <c r="K26" s="135"/>
      <c r="L26" s="134"/>
      <c r="M26" s="136"/>
      <c r="N26" s="141">
        <f t="shared" si="16"/>
        <v>2889001</v>
      </c>
      <c r="P26" s="141">
        <v>0</v>
      </c>
      <c r="Q26" s="138">
        <v>2889001</v>
      </c>
      <c r="R26" s="138"/>
      <c r="S26" s="142">
        <v>0</v>
      </c>
      <c r="T26" s="141"/>
      <c r="U26" s="137">
        <f t="shared" si="17"/>
        <v>2889001</v>
      </c>
      <c r="V26" s="140">
        <f t="shared" si="18"/>
        <v>0</v>
      </c>
      <c r="X26" s="130"/>
      <c r="Y26" s="130"/>
      <c r="AB26" s="131"/>
      <c r="AC26" s="130"/>
    </row>
    <row r="27" spans="2:29" x14ac:dyDescent="0.25">
      <c r="B27" s="7" t="s">
        <v>24</v>
      </c>
      <c r="C27" s="132">
        <v>29248130</v>
      </c>
      <c r="D27" s="133"/>
      <c r="E27" s="134">
        <v>86796</v>
      </c>
      <c r="F27" s="135"/>
      <c r="G27" s="135"/>
      <c r="H27" s="135"/>
      <c r="I27" s="135">
        <v>0</v>
      </c>
      <c r="J27" s="135"/>
      <c r="K27" s="135"/>
      <c r="L27" s="134">
        <v>1</v>
      </c>
      <c r="M27" s="136"/>
      <c r="N27" s="141">
        <f t="shared" si="16"/>
        <v>29334927</v>
      </c>
      <c r="P27" s="141">
        <v>6784926</v>
      </c>
      <c r="Q27" s="138">
        <v>7394260</v>
      </c>
      <c r="R27" s="138">
        <v>7394261</v>
      </c>
      <c r="S27" s="142">
        <v>7319420</v>
      </c>
      <c r="T27" s="233">
        <v>1</v>
      </c>
      <c r="U27" s="137">
        <f t="shared" si="17"/>
        <v>28892868</v>
      </c>
      <c r="V27" s="140">
        <f t="shared" si="18"/>
        <v>442059</v>
      </c>
      <c r="X27" s="130"/>
      <c r="Y27" s="130"/>
      <c r="Z27" s="15"/>
      <c r="AA27" s="15"/>
      <c r="AB27" s="131"/>
      <c r="AC27" s="130"/>
    </row>
    <row r="28" spans="2:29" x14ac:dyDescent="0.25">
      <c r="B28" s="7" t="s">
        <v>25</v>
      </c>
      <c r="C28" s="132">
        <v>3510000</v>
      </c>
      <c r="D28" s="133"/>
      <c r="E28" s="134">
        <v>13000</v>
      </c>
      <c r="F28" s="135"/>
      <c r="G28" s="135"/>
      <c r="H28" s="135"/>
      <c r="I28" s="135">
        <v>0</v>
      </c>
      <c r="J28" s="135"/>
      <c r="K28" s="135"/>
      <c r="L28" s="134"/>
      <c r="M28" s="136"/>
      <c r="N28" s="141">
        <f t="shared" si="16"/>
        <v>3523000</v>
      </c>
      <c r="P28" s="141">
        <v>187725</v>
      </c>
      <c r="Q28" s="138">
        <v>628920</v>
      </c>
      <c r="R28" s="138">
        <v>1050577</v>
      </c>
      <c r="S28" s="142">
        <v>1432609</v>
      </c>
      <c r="T28" s="233">
        <v>-1</v>
      </c>
      <c r="U28" s="137">
        <f t="shared" si="17"/>
        <v>3299830</v>
      </c>
      <c r="V28" s="140">
        <f t="shared" si="18"/>
        <v>223170</v>
      </c>
      <c r="X28" s="130"/>
      <c r="Y28" s="130"/>
      <c r="Z28" s="15"/>
      <c r="AA28" s="163"/>
      <c r="AB28" s="131"/>
      <c r="AC28" s="130"/>
    </row>
    <row r="29" spans="2:29" x14ac:dyDescent="0.25">
      <c r="B29" s="7" t="s">
        <v>26</v>
      </c>
      <c r="C29" s="132">
        <v>75675000</v>
      </c>
      <c r="D29" s="133"/>
      <c r="E29" s="134">
        <v>231000</v>
      </c>
      <c r="F29" s="135"/>
      <c r="G29" s="135"/>
      <c r="H29" s="135"/>
      <c r="I29" s="135">
        <v>0</v>
      </c>
      <c r="J29" s="135"/>
      <c r="K29" s="135"/>
      <c r="L29" s="134"/>
      <c r="M29" s="136"/>
      <c r="N29" s="141">
        <f t="shared" si="16"/>
        <v>75906000</v>
      </c>
      <c r="P29" s="141">
        <v>17184708</v>
      </c>
      <c r="Q29" s="138">
        <v>19041356</v>
      </c>
      <c r="R29" s="138">
        <v>19105514</v>
      </c>
      <c r="S29" s="142">
        <v>18888372</v>
      </c>
      <c r="T29" s="141"/>
      <c r="U29" s="137">
        <f t="shared" si="17"/>
        <v>74219950</v>
      </c>
      <c r="V29" s="140">
        <f t="shared" si="18"/>
        <v>1686050</v>
      </c>
      <c r="X29" s="130"/>
      <c r="Y29" s="130"/>
      <c r="AB29" s="131"/>
      <c r="AC29" s="130"/>
    </row>
    <row r="30" spans="2:29" x14ac:dyDescent="0.25">
      <c r="B30" s="7" t="s">
        <v>27</v>
      </c>
      <c r="C30" s="132">
        <v>14470000</v>
      </c>
      <c r="D30" s="133"/>
      <c r="E30" s="134">
        <v>42000</v>
      </c>
      <c r="F30" s="135"/>
      <c r="G30" s="135"/>
      <c r="H30" s="135"/>
      <c r="I30" s="135">
        <v>0</v>
      </c>
      <c r="J30" s="135"/>
      <c r="K30" s="135"/>
      <c r="L30" s="134"/>
      <c r="M30" s="136"/>
      <c r="N30" s="141">
        <f t="shared" si="16"/>
        <v>14512000</v>
      </c>
      <c r="P30" s="141">
        <v>3162900</v>
      </c>
      <c r="Q30" s="138">
        <v>3509300</v>
      </c>
      <c r="R30" s="138">
        <v>3513900</v>
      </c>
      <c r="S30" s="142">
        <v>4037300</v>
      </c>
      <c r="T30" s="141"/>
      <c r="U30" s="137">
        <f t="shared" si="17"/>
        <v>14223400</v>
      </c>
      <c r="V30" s="140">
        <f t="shared" si="18"/>
        <v>288600</v>
      </c>
      <c r="X30" s="130"/>
      <c r="Y30" s="130"/>
      <c r="AB30" s="131"/>
      <c r="AC30" s="130"/>
    </row>
    <row r="31" spans="2:29" x14ac:dyDescent="0.25">
      <c r="B31" s="7" t="s">
        <v>28</v>
      </c>
      <c r="C31" s="132">
        <v>18089000</v>
      </c>
      <c r="D31" s="164"/>
      <c r="E31" s="165">
        <v>54000</v>
      </c>
      <c r="F31" s="166"/>
      <c r="G31" s="166"/>
      <c r="H31" s="166"/>
      <c r="I31" s="166">
        <v>0</v>
      </c>
      <c r="J31" s="166"/>
      <c r="K31" s="166"/>
      <c r="L31" s="165">
        <v>6500</v>
      </c>
      <c r="M31" s="167"/>
      <c r="N31" s="168">
        <f t="shared" si="16"/>
        <v>18149500</v>
      </c>
      <c r="P31" s="168">
        <v>3955100</v>
      </c>
      <c r="Q31" s="169">
        <v>4387400</v>
      </c>
      <c r="R31" s="169">
        <v>4393500</v>
      </c>
      <c r="S31" s="142">
        <v>5048300</v>
      </c>
      <c r="T31" s="141"/>
      <c r="U31" s="137">
        <f t="shared" si="17"/>
        <v>17784300</v>
      </c>
      <c r="V31" s="140">
        <f t="shared" si="18"/>
        <v>365200</v>
      </c>
      <c r="X31" s="130"/>
      <c r="Y31" s="130"/>
      <c r="AB31" s="131"/>
      <c r="AC31" s="130"/>
    </row>
    <row r="32" spans="2:29" x14ac:dyDescent="0.25">
      <c r="B32" s="6" t="s">
        <v>29</v>
      </c>
      <c r="C32" s="148">
        <f t="shared" ref="C32:N32" si="19">SUM(C33:C47)</f>
        <v>377323890</v>
      </c>
      <c r="D32" s="149">
        <f t="shared" si="19"/>
        <v>0</v>
      </c>
      <c r="E32" s="150">
        <f t="shared" si="19"/>
        <v>10299185</v>
      </c>
      <c r="F32" s="151">
        <f t="shared" si="19"/>
        <v>9702500</v>
      </c>
      <c r="G32" s="151">
        <f t="shared" si="19"/>
        <v>0</v>
      </c>
      <c r="H32" s="151">
        <f t="shared" si="19"/>
        <v>0</v>
      </c>
      <c r="I32" s="151">
        <f t="shared" si="19"/>
        <v>-139782036</v>
      </c>
      <c r="J32" s="151">
        <f t="shared" si="19"/>
        <v>0</v>
      </c>
      <c r="K32" s="151">
        <f t="shared" si="19"/>
        <v>0</v>
      </c>
      <c r="L32" s="150"/>
      <c r="M32" s="152"/>
      <c r="N32" s="170">
        <f t="shared" si="19"/>
        <v>257543539</v>
      </c>
      <c r="P32" s="153">
        <f t="shared" ref="P32:T32" si="20">SUM(P33:P47)</f>
        <v>61624466</v>
      </c>
      <c r="Q32" s="154">
        <f t="shared" si="20"/>
        <v>27028067</v>
      </c>
      <c r="R32" s="154">
        <f t="shared" si="20"/>
        <v>35720350</v>
      </c>
      <c r="S32" s="155">
        <f t="shared" si="20"/>
        <v>72442889</v>
      </c>
      <c r="T32" s="153">
        <f t="shared" si="20"/>
        <v>0</v>
      </c>
      <c r="U32" s="170">
        <f>SUM(U33:U47)</f>
        <v>196815772</v>
      </c>
      <c r="V32" s="171">
        <f>SUM(V33:V47)</f>
        <v>60727767</v>
      </c>
      <c r="X32" s="130"/>
      <c r="Y32" s="130"/>
      <c r="AB32" s="131"/>
      <c r="AC32" s="130"/>
    </row>
    <row r="33" spans="2:29" x14ac:dyDescent="0.25">
      <c r="B33" s="7" t="s">
        <v>64</v>
      </c>
      <c r="C33" s="132">
        <v>20325944</v>
      </c>
      <c r="D33" s="157"/>
      <c r="E33" s="158">
        <v>9005866</v>
      </c>
      <c r="F33" s="159"/>
      <c r="G33" s="159"/>
      <c r="H33" s="159"/>
      <c r="I33" s="159">
        <v>-2273403</v>
      </c>
      <c r="J33" s="159"/>
      <c r="K33" s="159"/>
      <c r="L33" s="158"/>
      <c r="M33" s="172"/>
      <c r="N33" s="161">
        <f t="shared" ref="N33:N47" si="21">SUM(C33:M33)</f>
        <v>27058407</v>
      </c>
      <c r="P33" s="161">
        <v>9976702</v>
      </c>
      <c r="Q33" s="162">
        <v>9070305</v>
      </c>
      <c r="R33" s="162">
        <v>2310000</v>
      </c>
      <c r="S33" s="142">
        <v>5390000</v>
      </c>
      <c r="T33" s="141"/>
      <c r="U33" s="137">
        <f>SUM(P33:T33)</f>
        <v>26747007</v>
      </c>
      <c r="V33" s="140">
        <f>+N33-U33</f>
        <v>311400</v>
      </c>
      <c r="X33" s="130"/>
      <c r="Y33" s="130"/>
      <c r="AB33" s="131"/>
      <c r="AC33" s="130"/>
    </row>
    <row r="34" spans="2:29" hidden="1" x14ac:dyDescent="0.25">
      <c r="B34" s="7" t="s">
        <v>30</v>
      </c>
      <c r="C34" s="132">
        <v>0</v>
      </c>
      <c r="D34" s="133"/>
      <c r="E34" s="134">
        <v>0</v>
      </c>
      <c r="F34" s="135"/>
      <c r="G34" s="135"/>
      <c r="H34" s="135"/>
      <c r="I34" s="135">
        <v>0</v>
      </c>
      <c r="J34" s="135"/>
      <c r="K34" s="135"/>
      <c r="L34" s="134"/>
      <c r="M34" s="136"/>
      <c r="N34" s="141">
        <f t="shared" si="21"/>
        <v>0</v>
      </c>
      <c r="P34" s="141">
        <v>0</v>
      </c>
      <c r="Q34" s="138"/>
      <c r="R34" s="138"/>
      <c r="S34" s="142"/>
      <c r="T34" s="141"/>
      <c r="U34" s="137">
        <f t="shared" ref="U34:U47" si="22">SUM(P34:T34)</f>
        <v>0</v>
      </c>
      <c r="V34" s="140">
        <f t="shared" ref="V34:V47" si="23">+N34-U34</f>
        <v>0</v>
      </c>
      <c r="X34" s="130"/>
      <c r="Y34" s="130"/>
      <c r="AB34" s="131"/>
      <c r="AC34" s="130"/>
    </row>
    <row r="35" spans="2:29" x14ac:dyDescent="0.25">
      <c r="B35" s="7" t="s">
        <v>31</v>
      </c>
      <c r="C35" s="132">
        <v>15578690</v>
      </c>
      <c r="D35" s="133"/>
      <c r="E35" s="134">
        <v>575676</v>
      </c>
      <c r="F35" s="135"/>
      <c r="G35" s="135"/>
      <c r="H35" s="135"/>
      <c r="I35" s="135">
        <v>-3186388</v>
      </c>
      <c r="J35" s="135"/>
      <c r="K35" s="135"/>
      <c r="L35" s="134"/>
      <c r="M35" s="136"/>
      <c r="N35" s="141">
        <f t="shared" si="21"/>
        <v>12967978</v>
      </c>
      <c r="P35" s="141">
        <v>3309426</v>
      </c>
      <c r="Q35" s="138">
        <v>2960838</v>
      </c>
      <c r="R35" s="138">
        <v>3057965</v>
      </c>
      <c r="S35" s="142">
        <v>3223896</v>
      </c>
      <c r="T35" s="141"/>
      <c r="U35" s="137">
        <f t="shared" si="22"/>
        <v>12552125</v>
      </c>
      <c r="V35" s="140">
        <f t="shared" si="23"/>
        <v>415853</v>
      </c>
      <c r="X35" s="130"/>
      <c r="Y35" s="130"/>
      <c r="AB35" s="131"/>
      <c r="AC35" s="130"/>
    </row>
    <row r="36" spans="2:29" x14ac:dyDescent="0.25">
      <c r="B36" s="7" t="s">
        <v>32</v>
      </c>
      <c r="C36" s="132">
        <v>5837400</v>
      </c>
      <c r="D36" s="133"/>
      <c r="E36" s="134">
        <v>16920</v>
      </c>
      <c r="F36" s="135"/>
      <c r="G36" s="135"/>
      <c r="H36" s="135"/>
      <c r="I36" s="135">
        <v>0</v>
      </c>
      <c r="J36" s="135"/>
      <c r="K36" s="135"/>
      <c r="L36" s="134"/>
      <c r="M36" s="136"/>
      <c r="N36" s="141">
        <f t="shared" si="21"/>
        <v>5854320</v>
      </c>
      <c r="P36" s="141">
        <v>1361498</v>
      </c>
      <c r="Q36" s="138">
        <v>1463580</v>
      </c>
      <c r="R36" s="138">
        <v>1463580</v>
      </c>
      <c r="S36" s="142">
        <v>1565662</v>
      </c>
      <c r="T36" s="141"/>
      <c r="U36" s="137">
        <f t="shared" si="22"/>
        <v>5854320</v>
      </c>
      <c r="V36" s="140">
        <f t="shared" si="23"/>
        <v>0</v>
      </c>
      <c r="X36" s="130"/>
      <c r="Y36" s="130"/>
      <c r="AB36" s="131"/>
      <c r="AC36" s="130"/>
    </row>
    <row r="37" spans="2:29" x14ac:dyDescent="0.25">
      <c r="B37" s="7" t="s">
        <v>33</v>
      </c>
      <c r="C37" s="132">
        <v>145399304</v>
      </c>
      <c r="D37" s="133"/>
      <c r="E37" s="134">
        <v>334998</v>
      </c>
      <c r="F37" s="135"/>
      <c r="G37" s="135"/>
      <c r="H37" s="135"/>
      <c r="I37" s="135">
        <v>-68419708</v>
      </c>
      <c r="J37" s="135"/>
      <c r="K37" s="135"/>
      <c r="L37" s="134"/>
      <c r="M37" s="136"/>
      <c r="N37" s="141">
        <f t="shared" si="21"/>
        <v>77314594</v>
      </c>
      <c r="P37" s="141">
        <v>19128310</v>
      </c>
      <c r="Q37" s="138">
        <v>0</v>
      </c>
      <c r="R37" s="138">
        <v>1481300</v>
      </c>
      <c r="S37" s="142">
        <v>11653162</v>
      </c>
      <c r="T37" s="141"/>
      <c r="U37" s="137">
        <f t="shared" si="22"/>
        <v>32262772</v>
      </c>
      <c r="V37" s="140">
        <f t="shared" si="23"/>
        <v>45051822</v>
      </c>
      <c r="X37" s="130"/>
      <c r="Y37" s="130"/>
      <c r="AB37" s="131"/>
      <c r="AC37" s="130"/>
    </row>
    <row r="38" spans="2:29" x14ac:dyDescent="0.25">
      <c r="B38" s="7" t="s">
        <v>34</v>
      </c>
      <c r="C38" s="132">
        <v>31726517</v>
      </c>
      <c r="D38" s="133"/>
      <c r="E38" s="134">
        <v>50970</v>
      </c>
      <c r="F38" s="135"/>
      <c r="G38" s="135"/>
      <c r="H38" s="135"/>
      <c r="I38" s="135">
        <v>-3846781</v>
      </c>
      <c r="J38" s="135"/>
      <c r="K38" s="135"/>
      <c r="L38" s="134"/>
      <c r="M38" s="136"/>
      <c r="N38" s="141">
        <f t="shared" si="21"/>
        <v>27930706</v>
      </c>
      <c r="P38" s="141">
        <v>14714479</v>
      </c>
      <c r="Q38" s="138">
        <v>0</v>
      </c>
      <c r="R38" s="138">
        <v>11778000</v>
      </c>
      <c r="S38" s="142">
        <v>491550</v>
      </c>
      <c r="T38" s="141"/>
      <c r="U38" s="137">
        <f t="shared" si="22"/>
        <v>26984029</v>
      </c>
      <c r="V38" s="140">
        <f t="shared" si="23"/>
        <v>946677</v>
      </c>
      <c r="X38" s="130"/>
      <c r="Y38" s="130"/>
      <c r="AB38" s="131"/>
      <c r="AC38" s="130"/>
    </row>
    <row r="39" spans="2:29" hidden="1" x14ac:dyDescent="0.25">
      <c r="B39" s="7" t="s">
        <v>35</v>
      </c>
      <c r="C39" s="132">
        <v>0</v>
      </c>
      <c r="D39" s="133"/>
      <c r="E39" s="134">
        <v>0</v>
      </c>
      <c r="F39" s="135"/>
      <c r="G39" s="135"/>
      <c r="H39" s="135"/>
      <c r="I39" s="135">
        <v>0</v>
      </c>
      <c r="J39" s="135"/>
      <c r="K39" s="135"/>
      <c r="L39" s="134"/>
      <c r="M39" s="136"/>
      <c r="N39" s="141">
        <f t="shared" si="21"/>
        <v>0</v>
      </c>
      <c r="P39" s="141">
        <v>0</v>
      </c>
      <c r="Q39" s="138"/>
      <c r="R39" s="138"/>
      <c r="S39" s="173">
        <v>0</v>
      </c>
      <c r="T39" s="141"/>
      <c r="U39" s="137">
        <f t="shared" si="22"/>
        <v>0</v>
      </c>
      <c r="V39" s="140">
        <f t="shared" si="23"/>
        <v>0</v>
      </c>
      <c r="X39" s="130"/>
      <c r="Y39" s="130"/>
      <c r="AB39" s="131"/>
      <c r="AC39" s="130"/>
    </row>
    <row r="40" spans="2:29" x14ac:dyDescent="0.25">
      <c r="B40" s="7" t="s">
        <v>36</v>
      </c>
      <c r="C40" s="132">
        <v>32750940</v>
      </c>
      <c r="D40" s="133"/>
      <c r="E40" s="134">
        <v>91452</v>
      </c>
      <c r="F40" s="135">
        <v>9702500</v>
      </c>
      <c r="G40" s="135"/>
      <c r="H40" s="135"/>
      <c r="I40" s="135">
        <v>-2806553</v>
      </c>
      <c r="J40" s="135"/>
      <c r="K40" s="135"/>
      <c r="L40" s="134"/>
      <c r="M40" s="136"/>
      <c r="N40" s="141">
        <f t="shared" si="21"/>
        <v>39738339</v>
      </c>
      <c r="P40" s="141">
        <v>3328125</v>
      </c>
      <c r="Q40" s="138">
        <v>3973756</v>
      </c>
      <c r="R40" s="138">
        <v>5310498</v>
      </c>
      <c r="S40" s="173">
        <v>26805204</v>
      </c>
      <c r="T40" s="141"/>
      <c r="U40" s="137">
        <f t="shared" si="22"/>
        <v>39417583</v>
      </c>
      <c r="V40" s="140">
        <f t="shared" si="23"/>
        <v>320756</v>
      </c>
      <c r="X40" s="130"/>
      <c r="Y40" s="130"/>
      <c r="AB40" s="131"/>
      <c r="AC40" s="130"/>
    </row>
    <row r="41" spans="2:29" x14ac:dyDescent="0.25">
      <c r="B41" s="7" t="s">
        <v>65</v>
      </c>
      <c r="C41" s="132">
        <v>4692850</v>
      </c>
      <c r="D41" s="133"/>
      <c r="E41" s="134">
        <v>0</v>
      </c>
      <c r="F41" s="135"/>
      <c r="G41" s="135"/>
      <c r="H41" s="135"/>
      <c r="I41" s="135">
        <v>-4999</v>
      </c>
      <c r="J41" s="135"/>
      <c r="K41" s="135"/>
      <c r="L41" s="134"/>
      <c r="M41" s="136"/>
      <c r="N41" s="141">
        <f t="shared" si="21"/>
        <v>4687851</v>
      </c>
      <c r="P41" s="141">
        <v>1201214</v>
      </c>
      <c r="Q41" s="138">
        <v>440000</v>
      </c>
      <c r="R41" s="138">
        <v>1145332</v>
      </c>
      <c r="S41" s="173">
        <v>1065000</v>
      </c>
      <c r="T41" s="141"/>
      <c r="U41" s="137">
        <f t="shared" si="22"/>
        <v>3851546</v>
      </c>
      <c r="V41" s="140">
        <f t="shared" si="23"/>
        <v>836305</v>
      </c>
      <c r="X41" s="130"/>
      <c r="Y41" s="130"/>
      <c r="AB41" s="131"/>
      <c r="AC41" s="130"/>
    </row>
    <row r="42" spans="2:29" x14ac:dyDescent="0.25">
      <c r="B42" s="7" t="s">
        <v>37</v>
      </c>
      <c r="C42" s="132">
        <v>2769207</v>
      </c>
      <c r="D42" s="133"/>
      <c r="E42" s="134">
        <v>4548</v>
      </c>
      <c r="F42" s="135"/>
      <c r="G42" s="135"/>
      <c r="H42" s="135"/>
      <c r="I42" s="135">
        <v>-617000</v>
      </c>
      <c r="J42" s="135"/>
      <c r="K42" s="135"/>
      <c r="L42" s="134"/>
      <c r="M42" s="136"/>
      <c r="N42" s="141">
        <f t="shared" si="21"/>
        <v>2156755</v>
      </c>
      <c r="P42" s="141">
        <v>235000</v>
      </c>
      <c r="Q42" s="138">
        <v>320300</v>
      </c>
      <c r="R42" s="138">
        <v>130950</v>
      </c>
      <c r="S42" s="142">
        <v>602818</v>
      </c>
      <c r="T42" s="141"/>
      <c r="U42" s="137">
        <f t="shared" si="22"/>
        <v>1289068</v>
      </c>
      <c r="V42" s="140">
        <f t="shared" si="23"/>
        <v>867687</v>
      </c>
      <c r="X42" s="130"/>
      <c r="Y42" s="130"/>
      <c r="AB42" s="131"/>
      <c r="AC42" s="130"/>
    </row>
    <row r="43" spans="2:29" x14ac:dyDescent="0.25">
      <c r="B43" s="7" t="s">
        <v>38</v>
      </c>
      <c r="C43" s="132">
        <v>45050000</v>
      </c>
      <c r="D43" s="133"/>
      <c r="E43" s="134">
        <v>90000</v>
      </c>
      <c r="F43" s="135"/>
      <c r="G43" s="135"/>
      <c r="H43" s="135"/>
      <c r="I43" s="135">
        <v>-25000000</v>
      </c>
      <c r="J43" s="135"/>
      <c r="K43" s="135"/>
      <c r="L43" s="134"/>
      <c r="M43" s="136"/>
      <c r="N43" s="141">
        <f t="shared" si="21"/>
        <v>20140000</v>
      </c>
      <c r="P43" s="141">
        <v>3389291</v>
      </c>
      <c r="Q43" s="138">
        <v>3904567</v>
      </c>
      <c r="R43" s="138">
        <v>4145104</v>
      </c>
      <c r="S43" s="142">
        <v>7683925</v>
      </c>
      <c r="T43" s="141"/>
      <c r="U43" s="137">
        <f t="shared" si="22"/>
        <v>19122887</v>
      </c>
      <c r="V43" s="140">
        <f t="shared" si="23"/>
        <v>1017113</v>
      </c>
      <c r="X43" s="130"/>
      <c r="Y43" s="130"/>
      <c r="AB43" s="131"/>
      <c r="AC43" s="130"/>
    </row>
    <row r="44" spans="2:29" x14ac:dyDescent="0.25">
      <c r="B44" s="7" t="s">
        <v>39</v>
      </c>
      <c r="C44" s="132">
        <v>18338136</v>
      </c>
      <c r="D44" s="133"/>
      <c r="E44" s="134">
        <v>53153</v>
      </c>
      <c r="F44" s="135"/>
      <c r="G44" s="135"/>
      <c r="H44" s="135"/>
      <c r="I44" s="135">
        <v>0</v>
      </c>
      <c r="J44" s="135"/>
      <c r="K44" s="135"/>
      <c r="L44" s="134"/>
      <c r="M44" s="136"/>
      <c r="N44" s="141">
        <f t="shared" si="21"/>
        <v>18391289</v>
      </c>
      <c r="P44" s="141">
        <v>4597821</v>
      </c>
      <c r="Q44" s="138">
        <v>4597821</v>
      </c>
      <c r="R44" s="138">
        <v>4597821</v>
      </c>
      <c r="S44" s="142">
        <v>4597821</v>
      </c>
      <c r="T44" s="141"/>
      <c r="U44" s="137">
        <f t="shared" si="22"/>
        <v>18391284</v>
      </c>
      <c r="V44" s="140">
        <f t="shared" si="23"/>
        <v>5</v>
      </c>
      <c r="X44" s="130"/>
      <c r="Y44" s="130"/>
      <c r="AB44" s="131"/>
      <c r="AC44" s="130"/>
    </row>
    <row r="45" spans="2:29" x14ac:dyDescent="0.25">
      <c r="B45" s="7" t="s">
        <v>66</v>
      </c>
      <c r="C45" s="132">
        <v>1200000</v>
      </c>
      <c r="D45" s="133"/>
      <c r="E45" s="134">
        <v>0</v>
      </c>
      <c r="F45" s="135"/>
      <c r="G45" s="135"/>
      <c r="H45" s="135"/>
      <c r="I45" s="135">
        <v>0</v>
      </c>
      <c r="J45" s="135"/>
      <c r="K45" s="135"/>
      <c r="L45" s="134"/>
      <c r="M45" s="136"/>
      <c r="N45" s="141">
        <f t="shared" si="21"/>
        <v>1200000</v>
      </c>
      <c r="P45" s="141">
        <v>279300</v>
      </c>
      <c r="Q45" s="138">
        <v>296900</v>
      </c>
      <c r="R45" s="138">
        <v>299800</v>
      </c>
      <c r="S45" s="142">
        <v>321200</v>
      </c>
      <c r="T45" s="141"/>
      <c r="U45" s="137">
        <f t="shared" si="22"/>
        <v>1197200</v>
      </c>
      <c r="V45" s="140">
        <f t="shared" si="23"/>
        <v>2800</v>
      </c>
      <c r="X45" s="130"/>
      <c r="Y45" s="130"/>
      <c r="AB45" s="131"/>
      <c r="AC45" s="130"/>
    </row>
    <row r="46" spans="2:29" x14ac:dyDescent="0.25">
      <c r="B46" s="7" t="s">
        <v>40</v>
      </c>
      <c r="C46" s="132">
        <v>15000000</v>
      </c>
      <c r="D46" s="133"/>
      <c r="E46" s="134">
        <v>0</v>
      </c>
      <c r="F46" s="135"/>
      <c r="G46" s="135"/>
      <c r="H46" s="135"/>
      <c r="I46" s="135">
        <v>0</v>
      </c>
      <c r="J46" s="135"/>
      <c r="K46" s="135"/>
      <c r="L46" s="134"/>
      <c r="M46" s="136"/>
      <c r="N46" s="141">
        <f t="shared" si="21"/>
        <v>15000000</v>
      </c>
      <c r="P46" s="141">
        <v>0</v>
      </c>
      <c r="Q46" s="138"/>
      <c r="R46" s="138"/>
      <c r="S46" s="142">
        <v>9042651</v>
      </c>
      <c r="T46" s="141"/>
      <c r="U46" s="137">
        <f t="shared" si="22"/>
        <v>9042651</v>
      </c>
      <c r="V46" s="140">
        <f t="shared" si="23"/>
        <v>5957349</v>
      </c>
      <c r="X46" s="130"/>
      <c r="Y46" s="130"/>
      <c r="AB46" s="131"/>
      <c r="AC46" s="130"/>
    </row>
    <row r="47" spans="2:29" ht="16.5" thickBot="1" x14ac:dyDescent="0.3">
      <c r="B47" s="9" t="s">
        <v>41</v>
      </c>
      <c r="C47" s="132">
        <v>38654902</v>
      </c>
      <c r="D47" s="164"/>
      <c r="E47" s="165">
        <v>75602</v>
      </c>
      <c r="F47" s="166"/>
      <c r="G47" s="166"/>
      <c r="H47" s="166"/>
      <c r="I47" s="166">
        <v>-33627204</v>
      </c>
      <c r="J47" s="166"/>
      <c r="K47" s="166"/>
      <c r="L47" s="165"/>
      <c r="M47" s="167"/>
      <c r="N47" s="174">
        <f t="shared" si="21"/>
        <v>5103300</v>
      </c>
      <c r="P47" s="168">
        <v>103300</v>
      </c>
      <c r="Q47" s="169">
        <v>0</v>
      </c>
      <c r="R47" s="169">
        <v>0</v>
      </c>
      <c r="S47" s="142">
        <v>0</v>
      </c>
      <c r="T47" s="141"/>
      <c r="U47" s="137">
        <f t="shared" si="22"/>
        <v>103300</v>
      </c>
      <c r="V47" s="140">
        <f t="shared" si="23"/>
        <v>5000000</v>
      </c>
      <c r="X47" s="130"/>
      <c r="Y47" s="130"/>
      <c r="AB47" s="131"/>
      <c r="AC47" s="130"/>
    </row>
    <row r="48" spans="2:29" ht="16.5" thickBot="1" x14ac:dyDescent="0.3">
      <c r="B48" s="64" t="s">
        <v>67</v>
      </c>
      <c r="C48" s="175">
        <f>+C49</f>
        <v>564719999.89999998</v>
      </c>
      <c r="D48" s="176">
        <f t="shared" ref="D48:K48" si="24">+D49</f>
        <v>0</v>
      </c>
      <c r="E48" s="177">
        <f t="shared" si="24"/>
        <v>0</v>
      </c>
      <c r="F48" s="178">
        <f t="shared" si="24"/>
        <v>0</v>
      </c>
      <c r="G48" s="178">
        <f t="shared" si="24"/>
        <v>0</v>
      </c>
      <c r="H48" s="178">
        <f t="shared" si="24"/>
        <v>0</v>
      </c>
      <c r="I48" s="178">
        <f t="shared" si="24"/>
        <v>0</v>
      </c>
      <c r="J48" s="178">
        <f t="shared" si="24"/>
        <v>8925957.9000000004</v>
      </c>
      <c r="K48" s="178">
        <f t="shared" si="24"/>
        <v>2451000</v>
      </c>
      <c r="L48" s="177"/>
      <c r="M48" s="179"/>
      <c r="N48" s="180">
        <f>+N49</f>
        <v>576096957.80000007</v>
      </c>
      <c r="P48" s="180">
        <f t="shared" ref="P48:T48" si="25">+P49</f>
        <v>143525585</v>
      </c>
      <c r="Q48" s="181">
        <f t="shared" si="25"/>
        <v>120239573.7</v>
      </c>
      <c r="R48" s="181">
        <f t="shared" si="25"/>
        <v>124872019.5</v>
      </c>
      <c r="S48" s="182">
        <f t="shared" si="25"/>
        <v>126723337.5</v>
      </c>
      <c r="T48" s="180">
        <f t="shared" si="25"/>
        <v>1.1000000000000001</v>
      </c>
      <c r="U48" s="180">
        <f>+U49</f>
        <v>515360516.80000001</v>
      </c>
      <c r="V48" s="183">
        <f>+V49</f>
        <v>60736441.00000006</v>
      </c>
      <c r="X48" s="130"/>
      <c r="Y48" s="130"/>
      <c r="AB48" s="131"/>
      <c r="AC48" s="130"/>
    </row>
    <row r="49" spans="2:29" x14ac:dyDescent="0.25">
      <c r="B49" s="10" t="s">
        <v>42</v>
      </c>
      <c r="C49" s="184">
        <f t="shared" ref="C49:K49" si="26">(C10+C11)*10%</f>
        <v>564719999.89999998</v>
      </c>
      <c r="D49" s="157">
        <f t="shared" si="26"/>
        <v>0</v>
      </c>
      <c r="E49" s="158">
        <f t="shared" si="26"/>
        <v>0</v>
      </c>
      <c r="F49" s="159">
        <f t="shared" si="26"/>
        <v>0</v>
      </c>
      <c r="G49" s="159">
        <f t="shared" si="26"/>
        <v>0</v>
      </c>
      <c r="H49" s="159">
        <f t="shared" si="26"/>
        <v>0</v>
      </c>
      <c r="I49" s="159">
        <f t="shared" si="26"/>
        <v>0</v>
      </c>
      <c r="J49" s="159">
        <f t="shared" si="26"/>
        <v>8925957.9000000004</v>
      </c>
      <c r="K49" s="159">
        <f t="shared" si="26"/>
        <v>2451000</v>
      </c>
      <c r="L49" s="158"/>
      <c r="M49" s="172"/>
      <c r="N49" s="185">
        <f>(N10+N11)*10%</f>
        <v>576096957.80000007</v>
      </c>
      <c r="P49" s="161">
        <f>(P10+P11)*10%</f>
        <v>143525585</v>
      </c>
      <c r="Q49" s="162">
        <f>(Q10+Q11)*10%</f>
        <v>120239573.7</v>
      </c>
      <c r="R49" s="162">
        <f>(R10+R11)*10%</f>
        <v>124872019.5</v>
      </c>
      <c r="S49" s="186">
        <f>(S10+S11)*10%</f>
        <v>126723337.5</v>
      </c>
      <c r="T49" s="234">
        <f t="shared" ref="T49" si="27">(T10+T11)*10%</f>
        <v>1.1000000000000001</v>
      </c>
      <c r="U49" s="137">
        <f>(U10+U11)*10%</f>
        <v>515360516.80000001</v>
      </c>
      <c r="V49" s="140">
        <f>+N49-U49</f>
        <v>60736441.00000006</v>
      </c>
      <c r="X49" s="130"/>
      <c r="Y49" s="130"/>
      <c r="AB49" s="131"/>
      <c r="AC49" s="130"/>
    </row>
    <row r="50" spans="2:29" x14ac:dyDescent="0.25">
      <c r="B50" s="5" t="s">
        <v>68</v>
      </c>
      <c r="C50" s="148">
        <f t="shared" ref="C50:K50" si="28">+C51+C63+C81</f>
        <v>3069835256</v>
      </c>
      <c r="D50" s="149">
        <f t="shared" si="28"/>
        <v>0</v>
      </c>
      <c r="E50" s="150">
        <f t="shared" si="28"/>
        <v>36613615.495999999</v>
      </c>
      <c r="F50" s="151">
        <f t="shared" si="28"/>
        <v>700650000</v>
      </c>
      <c r="G50" s="151">
        <f t="shared" si="28"/>
        <v>-150000000</v>
      </c>
      <c r="H50" s="151">
        <f t="shared" si="28"/>
        <v>46172000</v>
      </c>
      <c r="I50" s="151">
        <f t="shared" si="28"/>
        <v>-630709594</v>
      </c>
      <c r="J50" s="151">
        <f t="shared" si="28"/>
        <v>0</v>
      </c>
      <c r="K50" s="151">
        <f t="shared" si="28"/>
        <v>0</v>
      </c>
      <c r="L50" s="150"/>
      <c r="M50" s="152"/>
      <c r="N50" s="153">
        <f>+N51+N63+N81</f>
        <v>3072561277.4960003</v>
      </c>
      <c r="P50" s="153">
        <f t="shared" ref="P50:T50" si="29">+P51+P63+P81</f>
        <v>479701420</v>
      </c>
      <c r="Q50" s="154">
        <f t="shared" si="29"/>
        <v>587950669</v>
      </c>
      <c r="R50" s="154">
        <f t="shared" si="29"/>
        <v>636567833</v>
      </c>
      <c r="S50" s="155">
        <f t="shared" si="29"/>
        <v>1168394257</v>
      </c>
      <c r="T50" s="153">
        <f t="shared" si="29"/>
        <v>0</v>
      </c>
      <c r="U50" s="153">
        <f>+U51+U63+U81</f>
        <v>2872614179</v>
      </c>
      <c r="V50" s="156">
        <f>+V51+V63+V81</f>
        <v>199947098.49599999</v>
      </c>
      <c r="X50" s="130"/>
      <c r="Y50" s="130"/>
      <c r="AB50" s="131"/>
      <c r="AC50" s="130"/>
    </row>
    <row r="51" spans="2:29" x14ac:dyDescent="0.25">
      <c r="B51" s="6" t="s">
        <v>17</v>
      </c>
      <c r="C51" s="187">
        <f>SUM(C52:C62)</f>
        <v>1191732668</v>
      </c>
      <c r="D51" s="188">
        <f t="shared" ref="D51:K51" si="30">SUM(D52:D62)</f>
        <v>0</v>
      </c>
      <c r="E51" s="189">
        <f t="shared" si="30"/>
        <v>3505304.4959999998</v>
      </c>
      <c r="F51" s="190">
        <f t="shared" si="30"/>
        <v>0</v>
      </c>
      <c r="G51" s="190">
        <f t="shared" si="30"/>
        <v>0</v>
      </c>
      <c r="H51" s="190">
        <f t="shared" si="30"/>
        <v>46172000</v>
      </c>
      <c r="I51" s="190">
        <f t="shared" si="30"/>
        <v>-204009183</v>
      </c>
      <c r="J51" s="190">
        <f t="shared" si="30"/>
        <v>0</v>
      </c>
      <c r="K51" s="190">
        <f t="shared" si="30"/>
        <v>0</v>
      </c>
      <c r="L51" s="189"/>
      <c r="M51" s="191"/>
      <c r="N51" s="170">
        <f>SUM(N52:N62)</f>
        <v>1037400789.4960001</v>
      </c>
      <c r="P51" s="170">
        <f t="shared" ref="P51:T51" si="31">SUM(P52:P62)</f>
        <v>210241112</v>
      </c>
      <c r="Q51" s="192">
        <f t="shared" si="31"/>
        <v>253299814</v>
      </c>
      <c r="R51" s="192">
        <f t="shared" si="31"/>
        <v>259759069</v>
      </c>
      <c r="S51" s="193">
        <f t="shared" si="31"/>
        <v>252859385</v>
      </c>
      <c r="T51" s="170">
        <f t="shared" si="31"/>
        <v>0</v>
      </c>
      <c r="U51" s="170">
        <f>SUM(U52:U62)</f>
        <v>976159380</v>
      </c>
      <c r="V51" s="171">
        <f>SUM(V52:V62)</f>
        <v>61241409.495999999</v>
      </c>
      <c r="X51" s="130"/>
      <c r="Y51" s="130"/>
      <c r="AB51" s="131"/>
      <c r="AC51" s="130"/>
    </row>
    <row r="52" spans="2:29" x14ac:dyDescent="0.25">
      <c r="B52" s="8" t="s">
        <v>18</v>
      </c>
      <c r="C52" s="194">
        <v>710682861</v>
      </c>
      <c r="D52" s="195"/>
      <c r="E52" s="196">
        <v>2128889</v>
      </c>
      <c r="F52" s="197"/>
      <c r="G52" s="197"/>
      <c r="H52" s="197"/>
      <c r="I52" s="197">
        <v>-105590655</v>
      </c>
      <c r="J52" s="197"/>
      <c r="K52" s="197"/>
      <c r="L52" s="196"/>
      <c r="M52" s="198"/>
      <c r="N52" s="185">
        <f t="shared" ref="N52:N62" si="32">SUM(C52:M52)</f>
        <v>607221095</v>
      </c>
      <c r="P52" s="185">
        <v>138453287</v>
      </c>
      <c r="Q52" s="199">
        <v>161972388</v>
      </c>
      <c r="R52" s="199">
        <v>145015969</v>
      </c>
      <c r="S52" s="142">
        <v>124303126</v>
      </c>
      <c r="T52" s="141"/>
      <c r="U52" s="137">
        <f>SUM(P52:T52)</f>
        <v>569744770</v>
      </c>
      <c r="V52" s="140">
        <f>+N52-U52</f>
        <v>37476325</v>
      </c>
      <c r="X52" s="130"/>
      <c r="Y52" s="130"/>
      <c r="AB52" s="131"/>
      <c r="AC52" s="130"/>
    </row>
    <row r="53" spans="2:29" x14ac:dyDescent="0.25">
      <c r="B53" s="8" t="s">
        <v>19</v>
      </c>
      <c r="C53" s="194">
        <v>29178232</v>
      </c>
      <c r="D53" s="200"/>
      <c r="E53" s="201">
        <v>84569</v>
      </c>
      <c r="F53" s="202"/>
      <c r="G53" s="202"/>
      <c r="H53" s="202"/>
      <c r="I53" s="202">
        <v>-4405803</v>
      </c>
      <c r="J53" s="202"/>
      <c r="K53" s="202"/>
      <c r="L53" s="201"/>
      <c r="M53" s="203"/>
      <c r="N53" s="204">
        <f t="shared" si="32"/>
        <v>24856998</v>
      </c>
      <c r="P53" s="204">
        <v>5675108</v>
      </c>
      <c r="Q53" s="205">
        <v>6639122</v>
      </c>
      <c r="R53" s="205">
        <v>5942928</v>
      </c>
      <c r="S53" s="142">
        <v>5069566</v>
      </c>
      <c r="T53" s="141"/>
      <c r="U53" s="137">
        <f t="shared" ref="U53:U62" si="33">SUM(P53:T53)</f>
        <v>23326724</v>
      </c>
      <c r="V53" s="140">
        <f t="shared" ref="V53:V62" si="34">+N53-U53</f>
        <v>1530274</v>
      </c>
      <c r="X53" s="130"/>
      <c r="Y53" s="130"/>
      <c r="AB53" s="131"/>
      <c r="AC53" s="130"/>
    </row>
    <row r="54" spans="2:29" x14ac:dyDescent="0.25">
      <c r="B54" s="8" t="s">
        <v>20</v>
      </c>
      <c r="C54" s="194">
        <v>1219207</v>
      </c>
      <c r="D54" s="200"/>
      <c r="E54" s="201">
        <v>11612.495999999799</v>
      </c>
      <c r="F54" s="202"/>
      <c r="G54" s="202"/>
      <c r="H54" s="202"/>
      <c r="I54" s="202">
        <v>0</v>
      </c>
      <c r="J54" s="202"/>
      <c r="K54" s="202"/>
      <c r="L54" s="201"/>
      <c r="M54" s="203"/>
      <c r="N54" s="204">
        <f t="shared" si="32"/>
        <v>1230819.4959999998</v>
      </c>
      <c r="P54" s="206">
        <v>294848</v>
      </c>
      <c r="Q54" s="207">
        <v>308562</v>
      </c>
      <c r="R54" s="207">
        <v>308562</v>
      </c>
      <c r="S54" s="173">
        <v>308562</v>
      </c>
      <c r="T54" s="137"/>
      <c r="U54" s="137">
        <f t="shared" si="33"/>
        <v>1220534</v>
      </c>
      <c r="V54" s="140">
        <f t="shared" si="34"/>
        <v>10285.49599999981</v>
      </c>
      <c r="X54" s="130"/>
      <c r="Y54" s="130"/>
      <c r="AB54" s="131"/>
      <c r="AC54" s="130"/>
    </row>
    <row r="55" spans="2:29" x14ac:dyDescent="0.25">
      <c r="B55" s="8" t="s">
        <v>21</v>
      </c>
      <c r="C55" s="194">
        <v>58458068</v>
      </c>
      <c r="D55" s="200"/>
      <c r="E55" s="201">
        <v>170117</v>
      </c>
      <c r="F55" s="202"/>
      <c r="G55" s="202"/>
      <c r="H55" s="202"/>
      <c r="I55" s="202">
        <v>-8811608</v>
      </c>
      <c r="J55" s="202"/>
      <c r="K55" s="202"/>
      <c r="L55" s="201"/>
      <c r="M55" s="203"/>
      <c r="N55" s="204">
        <f t="shared" si="32"/>
        <v>49816577</v>
      </c>
      <c r="P55" s="204">
        <v>11330506</v>
      </c>
      <c r="Q55" s="205">
        <v>13303960</v>
      </c>
      <c r="R55" s="205">
        <v>11911568</v>
      </c>
      <c r="S55" s="142">
        <v>10164859</v>
      </c>
      <c r="T55" s="141"/>
      <c r="U55" s="137">
        <f t="shared" si="33"/>
        <v>46710893</v>
      </c>
      <c r="V55" s="140">
        <f t="shared" si="34"/>
        <v>3105684</v>
      </c>
      <c r="X55" s="130"/>
      <c r="Y55" s="130"/>
      <c r="AB55" s="131"/>
      <c r="AC55" s="130"/>
    </row>
    <row r="56" spans="2:29" x14ac:dyDescent="0.25">
      <c r="B56" s="8" t="s">
        <v>22</v>
      </c>
      <c r="C56" s="194">
        <v>103667932</v>
      </c>
      <c r="D56" s="200"/>
      <c r="E56" s="201">
        <v>0</v>
      </c>
      <c r="F56" s="202"/>
      <c r="G56" s="202"/>
      <c r="H56" s="202">
        <v>46172000</v>
      </c>
      <c r="I56" s="202">
        <v>-42397533</v>
      </c>
      <c r="J56" s="202"/>
      <c r="K56" s="202"/>
      <c r="L56" s="201"/>
      <c r="M56" s="203"/>
      <c r="N56" s="204">
        <f t="shared" si="32"/>
        <v>107442399</v>
      </c>
      <c r="P56" s="204">
        <v>0</v>
      </c>
      <c r="Q56" s="205">
        <v>5900000</v>
      </c>
      <c r="R56" s="205">
        <v>38057394</v>
      </c>
      <c r="S56" s="142">
        <v>60762817</v>
      </c>
      <c r="T56" s="141"/>
      <c r="U56" s="137">
        <f t="shared" si="33"/>
        <v>104720211</v>
      </c>
      <c r="V56" s="140">
        <f t="shared" si="34"/>
        <v>2722188</v>
      </c>
      <c r="X56" s="130"/>
      <c r="Y56" s="130"/>
      <c r="AB56" s="131"/>
      <c r="AC56" s="130"/>
    </row>
    <row r="57" spans="2:29" x14ac:dyDescent="0.25">
      <c r="B57" s="8" t="s">
        <v>23</v>
      </c>
      <c r="C57" s="194">
        <v>705300</v>
      </c>
      <c r="D57" s="200"/>
      <c r="E57" s="201">
        <v>262000</v>
      </c>
      <c r="F57" s="202"/>
      <c r="G57" s="202"/>
      <c r="H57" s="202"/>
      <c r="I57" s="202">
        <v>-132301</v>
      </c>
      <c r="J57" s="202"/>
      <c r="K57" s="202"/>
      <c r="L57" s="201"/>
      <c r="M57" s="203"/>
      <c r="N57" s="204">
        <f t="shared" si="32"/>
        <v>834999</v>
      </c>
      <c r="P57" s="204">
        <v>0</v>
      </c>
      <c r="Q57" s="205">
        <v>834999</v>
      </c>
      <c r="R57" s="205"/>
      <c r="S57" s="142">
        <v>0</v>
      </c>
      <c r="T57" s="141"/>
      <c r="U57" s="137">
        <f t="shared" si="33"/>
        <v>834999</v>
      </c>
      <c r="V57" s="140">
        <f t="shared" si="34"/>
        <v>0</v>
      </c>
      <c r="X57" s="130"/>
      <c r="Y57" s="130"/>
      <c r="AB57" s="131"/>
      <c r="AC57" s="130"/>
    </row>
    <row r="58" spans="2:29" x14ac:dyDescent="0.25">
      <c r="B58" s="8" t="s">
        <v>24</v>
      </c>
      <c r="C58" s="194">
        <v>58458068</v>
      </c>
      <c r="D58" s="200"/>
      <c r="E58" s="201">
        <v>170117</v>
      </c>
      <c r="F58" s="202"/>
      <c r="G58" s="202"/>
      <c r="H58" s="202"/>
      <c r="I58" s="202">
        <v>-8811608</v>
      </c>
      <c r="J58" s="202"/>
      <c r="K58" s="202"/>
      <c r="L58" s="201"/>
      <c r="M58" s="203"/>
      <c r="N58" s="204">
        <f t="shared" si="32"/>
        <v>49816577</v>
      </c>
      <c r="P58" s="204">
        <v>11374548</v>
      </c>
      <c r="Q58" s="205">
        <v>13303960</v>
      </c>
      <c r="R58" s="205">
        <v>11911576</v>
      </c>
      <c r="S58" s="142">
        <v>10164855</v>
      </c>
      <c r="T58" s="141"/>
      <c r="U58" s="137">
        <f t="shared" si="33"/>
        <v>46754939</v>
      </c>
      <c r="V58" s="140">
        <f t="shared" si="34"/>
        <v>3061638</v>
      </c>
      <c r="X58" s="130"/>
      <c r="Y58" s="130"/>
      <c r="Z58" s="130"/>
      <c r="AB58" s="131"/>
      <c r="AC58" s="130"/>
    </row>
    <row r="59" spans="2:29" x14ac:dyDescent="0.25">
      <c r="B59" s="8" t="s">
        <v>25</v>
      </c>
      <c r="C59" s="194">
        <v>7023000</v>
      </c>
      <c r="D59" s="200"/>
      <c r="E59" s="201">
        <v>9000</v>
      </c>
      <c r="F59" s="202"/>
      <c r="G59" s="202"/>
      <c r="H59" s="202"/>
      <c r="I59" s="202">
        <v>-1434997</v>
      </c>
      <c r="J59" s="202"/>
      <c r="K59" s="202"/>
      <c r="L59" s="201"/>
      <c r="M59" s="203"/>
      <c r="N59" s="204">
        <f t="shared" si="32"/>
        <v>5597003</v>
      </c>
      <c r="P59" s="204">
        <v>263252</v>
      </c>
      <c r="Q59" s="205">
        <v>986692</v>
      </c>
      <c r="R59" s="205">
        <v>1494402</v>
      </c>
      <c r="S59" s="142">
        <v>1845696</v>
      </c>
      <c r="T59" s="141"/>
      <c r="U59" s="137">
        <f t="shared" si="33"/>
        <v>4590042</v>
      </c>
      <c r="V59" s="140">
        <f t="shared" si="34"/>
        <v>1006961</v>
      </c>
      <c r="X59" s="130"/>
      <c r="Y59" s="130"/>
      <c r="Z59" s="130"/>
      <c r="AB59" s="131"/>
      <c r="AC59" s="130"/>
    </row>
    <row r="60" spans="2:29" x14ac:dyDescent="0.25">
      <c r="B60" s="8" t="s">
        <v>26</v>
      </c>
      <c r="C60" s="194">
        <v>156696000</v>
      </c>
      <c r="D60" s="200"/>
      <c r="E60" s="201">
        <v>474000</v>
      </c>
      <c r="F60" s="202"/>
      <c r="G60" s="202"/>
      <c r="H60" s="202"/>
      <c r="I60" s="202">
        <v>-22515478</v>
      </c>
      <c r="J60" s="202"/>
      <c r="K60" s="202"/>
      <c r="L60" s="201"/>
      <c r="M60" s="203"/>
      <c r="N60" s="204">
        <f t="shared" si="32"/>
        <v>134654522</v>
      </c>
      <c r="P60" s="204">
        <v>30565663</v>
      </c>
      <c r="Q60" s="205">
        <v>35620031</v>
      </c>
      <c r="R60" s="205">
        <v>32112970</v>
      </c>
      <c r="S60" s="142">
        <v>27520004</v>
      </c>
      <c r="T60" s="141"/>
      <c r="U60" s="137">
        <f t="shared" si="33"/>
        <v>125818668</v>
      </c>
      <c r="V60" s="140">
        <f t="shared" si="34"/>
        <v>8835854</v>
      </c>
      <c r="X60" s="130"/>
      <c r="Y60" s="130"/>
      <c r="AB60" s="131"/>
      <c r="AC60" s="130"/>
    </row>
    <row r="61" spans="2:29" x14ac:dyDescent="0.25">
      <c r="B61" s="8" t="s">
        <v>27</v>
      </c>
      <c r="C61" s="194">
        <v>29182000</v>
      </c>
      <c r="D61" s="200"/>
      <c r="E61" s="201">
        <v>83000</v>
      </c>
      <c r="F61" s="202"/>
      <c r="G61" s="202"/>
      <c r="H61" s="202"/>
      <c r="I61" s="202">
        <v>-4404400</v>
      </c>
      <c r="J61" s="202"/>
      <c r="K61" s="202"/>
      <c r="L61" s="201"/>
      <c r="M61" s="203"/>
      <c r="N61" s="204">
        <f t="shared" si="32"/>
        <v>24860600</v>
      </c>
      <c r="P61" s="204">
        <v>5459000</v>
      </c>
      <c r="Q61" s="205">
        <v>6413200</v>
      </c>
      <c r="R61" s="205">
        <v>5779300</v>
      </c>
      <c r="S61" s="142">
        <v>5652600</v>
      </c>
      <c r="T61" s="141"/>
      <c r="U61" s="137">
        <f t="shared" si="33"/>
        <v>23304100</v>
      </c>
      <c r="V61" s="140">
        <f t="shared" si="34"/>
        <v>1556500</v>
      </c>
      <c r="X61" s="130"/>
      <c r="Y61" s="130"/>
      <c r="AB61" s="131"/>
      <c r="AC61" s="130"/>
    </row>
    <row r="62" spans="2:29" x14ac:dyDescent="0.25">
      <c r="B62" s="8" t="s">
        <v>28</v>
      </c>
      <c r="C62" s="194">
        <v>36462000</v>
      </c>
      <c r="D62" s="208"/>
      <c r="E62" s="209">
        <v>112000</v>
      </c>
      <c r="F62" s="210"/>
      <c r="G62" s="210"/>
      <c r="H62" s="210"/>
      <c r="I62" s="210">
        <v>-5504800</v>
      </c>
      <c r="J62" s="210"/>
      <c r="K62" s="210"/>
      <c r="L62" s="209"/>
      <c r="M62" s="211"/>
      <c r="N62" s="212">
        <f t="shared" si="32"/>
        <v>31069200</v>
      </c>
      <c r="P62" s="212">
        <v>6824900</v>
      </c>
      <c r="Q62" s="213">
        <v>8016900</v>
      </c>
      <c r="R62" s="213">
        <v>7224400</v>
      </c>
      <c r="S62" s="142">
        <v>7067300</v>
      </c>
      <c r="T62" s="141"/>
      <c r="U62" s="137">
        <f t="shared" si="33"/>
        <v>29133500</v>
      </c>
      <c r="V62" s="140">
        <f t="shared" si="34"/>
        <v>1935700</v>
      </c>
      <c r="X62" s="130"/>
      <c r="Y62" s="130"/>
      <c r="AB62" s="131"/>
      <c r="AC62" s="130"/>
    </row>
    <row r="63" spans="2:29" x14ac:dyDescent="0.25">
      <c r="B63" s="6" t="s">
        <v>29</v>
      </c>
      <c r="C63" s="187">
        <f t="shared" ref="C63:K63" si="35">SUM(C64:C79)</f>
        <v>676943740</v>
      </c>
      <c r="D63" s="188">
        <f t="shared" si="35"/>
        <v>0</v>
      </c>
      <c r="E63" s="189">
        <f t="shared" si="35"/>
        <v>9084311</v>
      </c>
      <c r="F63" s="190">
        <f t="shared" si="35"/>
        <v>0</v>
      </c>
      <c r="G63" s="190">
        <f t="shared" si="35"/>
        <v>0</v>
      </c>
      <c r="H63" s="190">
        <f t="shared" si="35"/>
        <v>0</v>
      </c>
      <c r="I63" s="190">
        <f t="shared" si="35"/>
        <v>-325826537</v>
      </c>
      <c r="J63" s="190">
        <f t="shared" si="35"/>
        <v>0</v>
      </c>
      <c r="K63" s="190">
        <f t="shared" si="35"/>
        <v>0</v>
      </c>
      <c r="L63" s="189"/>
      <c r="M63" s="191"/>
      <c r="N63" s="170">
        <f>SUM(N64:N79)</f>
        <v>360201514</v>
      </c>
      <c r="P63" s="170">
        <f t="shared" ref="P63:T63" si="36">SUM(P64:P79)</f>
        <v>154410308</v>
      </c>
      <c r="Q63" s="192">
        <f t="shared" si="36"/>
        <v>50806038</v>
      </c>
      <c r="R63" s="192">
        <f t="shared" si="36"/>
        <v>40203882</v>
      </c>
      <c r="S63" s="193">
        <f t="shared" si="36"/>
        <v>45900451</v>
      </c>
      <c r="T63" s="170">
        <f t="shared" si="36"/>
        <v>0</v>
      </c>
      <c r="U63" s="170">
        <f>SUM(U64:U79)</f>
        <v>291320679</v>
      </c>
      <c r="V63" s="171">
        <f>SUM(V64:V79)</f>
        <v>68880835</v>
      </c>
      <c r="X63" s="130"/>
      <c r="Y63" s="130"/>
      <c r="AB63" s="131"/>
      <c r="AC63" s="130"/>
    </row>
    <row r="64" spans="2:29" x14ac:dyDescent="0.25">
      <c r="B64" s="11" t="s">
        <v>64</v>
      </c>
      <c r="C64" s="132">
        <v>46795725</v>
      </c>
      <c r="D64" s="157"/>
      <c r="E64" s="158">
        <v>6516569</v>
      </c>
      <c r="F64" s="159"/>
      <c r="G64" s="159"/>
      <c r="H64" s="159"/>
      <c r="I64" s="159">
        <v>-16323681</v>
      </c>
      <c r="J64" s="159"/>
      <c r="K64" s="159"/>
      <c r="L64" s="158"/>
      <c r="M64" s="172"/>
      <c r="N64" s="161">
        <f t="shared" ref="N64:N80" si="37">SUM(C64:M64)</f>
        <v>36988613</v>
      </c>
      <c r="P64" s="161">
        <v>25482440</v>
      </c>
      <c r="Q64" s="162">
        <v>10172979</v>
      </c>
      <c r="R64" s="162">
        <v>342833</v>
      </c>
      <c r="S64" s="142">
        <v>230531</v>
      </c>
      <c r="T64" s="141"/>
      <c r="U64" s="137">
        <f>SUM(P64:T64)</f>
        <v>36228783</v>
      </c>
      <c r="V64" s="140">
        <f>+N64-U64</f>
        <v>759830</v>
      </c>
      <c r="X64" s="130"/>
      <c r="Y64" s="130"/>
      <c r="AB64" s="131"/>
      <c r="AC64" s="130"/>
    </row>
    <row r="65" spans="2:29" x14ac:dyDescent="0.25">
      <c r="B65" s="11" t="s">
        <v>69</v>
      </c>
      <c r="C65" s="132">
        <v>60500000</v>
      </c>
      <c r="D65" s="157"/>
      <c r="E65" s="158">
        <v>0</v>
      </c>
      <c r="F65" s="159"/>
      <c r="G65" s="159"/>
      <c r="H65" s="159"/>
      <c r="I65" s="159">
        <v>-1959379</v>
      </c>
      <c r="J65" s="159"/>
      <c r="K65" s="159"/>
      <c r="L65" s="158"/>
      <c r="M65" s="172"/>
      <c r="N65" s="161">
        <f t="shared" si="37"/>
        <v>58540621</v>
      </c>
      <c r="P65" s="161">
        <v>28040621</v>
      </c>
      <c r="Q65" s="162">
        <v>0</v>
      </c>
      <c r="R65" s="162">
        <v>4857550</v>
      </c>
      <c r="S65" s="142">
        <v>9102350</v>
      </c>
      <c r="T65" s="141"/>
      <c r="U65" s="137">
        <f t="shared" ref="U65:U80" si="38">SUM(P65:T65)</f>
        <v>42000521</v>
      </c>
      <c r="V65" s="140">
        <f t="shared" ref="V65:V80" si="39">+N65-U65</f>
        <v>16540100</v>
      </c>
      <c r="X65" s="130"/>
      <c r="Y65" s="130"/>
      <c r="AB65" s="131"/>
      <c r="AC65" s="130"/>
    </row>
    <row r="66" spans="2:29" hidden="1" x14ac:dyDescent="0.25">
      <c r="B66" s="11" t="s">
        <v>30</v>
      </c>
      <c r="C66" s="132">
        <v>0</v>
      </c>
      <c r="D66" s="133"/>
      <c r="E66" s="134">
        <v>0</v>
      </c>
      <c r="F66" s="135"/>
      <c r="G66" s="135"/>
      <c r="H66" s="135"/>
      <c r="I66" s="135">
        <v>0</v>
      </c>
      <c r="J66" s="135"/>
      <c r="K66" s="135"/>
      <c r="L66" s="134"/>
      <c r="M66" s="136"/>
      <c r="N66" s="141">
        <f t="shared" si="37"/>
        <v>0</v>
      </c>
      <c r="P66" s="141"/>
      <c r="Q66" s="138"/>
      <c r="R66" s="138"/>
      <c r="S66" s="142"/>
      <c r="T66" s="141"/>
      <c r="U66" s="137">
        <f t="shared" si="38"/>
        <v>0</v>
      </c>
      <c r="V66" s="140">
        <f t="shared" si="39"/>
        <v>0</v>
      </c>
      <c r="X66" s="130"/>
      <c r="Y66" s="130"/>
      <c r="AB66" s="131"/>
      <c r="AC66" s="130"/>
    </row>
    <row r="67" spans="2:29" x14ac:dyDescent="0.25">
      <c r="B67" s="11" t="s">
        <v>31</v>
      </c>
      <c r="C67" s="132">
        <v>6721000</v>
      </c>
      <c r="D67" s="133"/>
      <c r="E67" s="134">
        <v>1925000</v>
      </c>
      <c r="F67" s="135"/>
      <c r="G67" s="135"/>
      <c r="H67" s="135"/>
      <c r="I67" s="135">
        <v>-105744</v>
      </c>
      <c r="J67" s="135"/>
      <c r="K67" s="135"/>
      <c r="L67" s="134"/>
      <c r="M67" s="136"/>
      <c r="N67" s="141">
        <f t="shared" si="37"/>
        <v>8540256</v>
      </c>
      <c r="P67" s="141">
        <v>2052253</v>
      </c>
      <c r="Q67" s="138">
        <v>1750503</v>
      </c>
      <c r="R67" s="138">
        <v>1860468</v>
      </c>
      <c r="S67" s="142">
        <v>2080399</v>
      </c>
      <c r="T67" s="141">
        <v>0</v>
      </c>
      <c r="U67" s="137">
        <f t="shared" si="38"/>
        <v>7743623</v>
      </c>
      <c r="V67" s="140">
        <f t="shared" si="39"/>
        <v>796633</v>
      </c>
      <c r="X67" s="130"/>
      <c r="Y67" s="130"/>
      <c r="AB67" s="131"/>
      <c r="AC67" s="130"/>
    </row>
    <row r="68" spans="2:29" x14ac:dyDescent="0.25">
      <c r="B68" s="11" t="s">
        <v>32</v>
      </c>
      <c r="C68" s="132">
        <v>2732400</v>
      </c>
      <c r="D68" s="133"/>
      <c r="E68" s="134">
        <v>7920</v>
      </c>
      <c r="F68" s="135"/>
      <c r="G68" s="135"/>
      <c r="H68" s="135"/>
      <c r="I68" s="135">
        <v>0</v>
      </c>
      <c r="J68" s="135"/>
      <c r="K68" s="135"/>
      <c r="L68" s="134"/>
      <c r="M68" s="136"/>
      <c r="N68" s="141">
        <f t="shared" si="37"/>
        <v>2740320</v>
      </c>
      <c r="P68" s="141">
        <v>683100</v>
      </c>
      <c r="Q68" s="138">
        <v>274900</v>
      </c>
      <c r="R68" s="138">
        <v>438000</v>
      </c>
      <c r="S68" s="142">
        <v>1090000</v>
      </c>
      <c r="T68" s="141"/>
      <c r="U68" s="137">
        <f t="shared" si="38"/>
        <v>2486000</v>
      </c>
      <c r="V68" s="140">
        <f t="shared" si="39"/>
        <v>254320</v>
      </c>
      <c r="X68" s="130"/>
      <c r="Y68" s="130"/>
      <c r="AB68" s="131"/>
      <c r="AC68" s="130"/>
    </row>
    <row r="69" spans="2:29" x14ac:dyDescent="0.25">
      <c r="B69" s="11" t="s">
        <v>33</v>
      </c>
      <c r="C69" s="132">
        <v>180075881</v>
      </c>
      <c r="D69" s="133"/>
      <c r="E69" s="134">
        <v>358932</v>
      </c>
      <c r="F69" s="135"/>
      <c r="G69" s="135"/>
      <c r="H69" s="135"/>
      <c r="I69" s="135">
        <v>-68534862</v>
      </c>
      <c r="J69" s="135"/>
      <c r="K69" s="135"/>
      <c r="L69" s="134"/>
      <c r="M69" s="136"/>
      <c r="N69" s="141">
        <f t="shared" si="37"/>
        <v>111899951</v>
      </c>
      <c r="P69" s="141">
        <v>21976523</v>
      </c>
      <c r="Q69" s="138">
        <v>23839756</v>
      </c>
      <c r="R69" s="138">
        <v>27787962</v>
      </c>
      <c r="S69" s="142">
        <v>22979232</v>
      </c>
      <c r="T69" s="141"/>
      <c r="U69" s="137">
        <f t="shared" si="38"/>
        <v>96583473</v>
      </c>
      <c r="V69" s="140">
        <f t="shared" si="39"/>
        <v>15316478</v>
      </c>
      <c r="X69" s="130"/>
      <c r="Y69" s="130"/>
      <c r="AB69" s="131"/>
      <c r="AC69" s="130"/>
    </row>
    <row r="70" spans="2:29" x14ac:dyDescent="0.25">
      <c r="B70" s="11" t="s">
        <v>34</v>
      </c>
      <c r="C70" s="132">
        <v>273692798</v>
      </c>
      <c r="D70" s="133"/>
      <c r="E70" s="134">
        <v>262594</v>
      </c>
      <c r="F70" s="135"/>
      <c r="G70" s="135"/>
      <c r="H70" s="135"/>
      <c r="I70" s="135">
        <v>-187570302</v>
      </c>
      <c r="J70" s="135"/>
      <c r="K70" s="135"/>
      <c r="L70" s="134"/>
      <c r="M70" s="136"/>
      <c r="N70" s="141">
        <f t="shared" si="37"/>
        <v>86385090</v>
      </c>
      <c r="P70" s="141">
        <v>56177190</v>
      </c>
      <c r="Q70" s="138">
        <v>14767900</v>
      </c>
      <c r="R70" s="138">
        <v>800983</v>
      </c>
      <c r="S70" s="142">
        <v>1635390</v>
      </c>
      <c r="T70" s="141"/>
      <c r="U70" s="137">
        <f t="shared" si="38"/>
        <v>73381463</v>
      </c>
      <c r="V70" s="140">
        <f t="shared" si="39"/>
        <v>13003627</v>
      </c>
      <c r="X70" s="130"/>
      <c r="Y70" s="130"/>
      <c r="AB70" s="131"/>
      <c r="AC70" s="130"/>
    </row>
    <row r="71" spans="2:29" x14ac:dyDescent="0.25">
      <c r="B71" s="11" t="s">
        <v>35</v>
      </c>
      <c r="C71" s="132">
        <v>24140000</v>
      </c>
      <c r="D71" s="133"/>
      <c r="E71" s="134">
        <v>12000</v>
      </c>
      <c r="F71" s="135"/>
      <c r="G71" s="135"/>
      <c r="H71" s="135"/>
      <c r="I71" s="135">
        <v>0</v>
      </c>
      <c r="J71" s="135"/>
      <c r="K71" s="135"/>
      <c r="L71" s="134"/>
      <c r="M71" s="136"/>
      <c r="N71" s="141">
        <f t="shared" si="37"/>
        <v>24152000</v>
      </c>
      <c r="P71" s="141"/>
      <c r="Q71" s="138"/>
      <c r="R71" s="138"/>
      <c r="S71" s="142">
        <v>3950000</v>
      </c>
      <c r="T71" s="141"/>
      <c r="U71" s="137">
        <f t="shared" si="38"/>
        <v>3950000</v>
      </c>
      <c r="V71" s="140">
        <f t="shared" si="39"/>
        <v>20202000</v>
      </c>
      <c r="X71" s="130"/>
      <c r="Y71" s="130"/>
      <c r="AB71" s="131"/>
      <c r="AC71" s="130"/>
    </row>
    <row r="72" spans="2:29" x14ac:dyDescent="0.25">
      <c r="B72" s="11" t="s">
        <v>36</v>
      </c>
      <c r="C72" s="132">
        <v>68704000</v>
      </c>
      <c r="D72" s="133"/>
      <c r="E72" s="134">
        <v>0</v>
      </c>
      <c r="F72" s="135"/>
      <c r="G72" s="135"/>
      <c r="H72" s="135"/>
      <c r="I72" s="135">
        <v>-44982067</v>
      </c>
      <c r="J72" s="135"/>
      <c r="K72" s="135"/>
      <c r="L72" s="134"/>
      <c r="M72" s="136"/>
      <c r="N72" s="141">
        <f t="shared" si="37"/>
        <v>23721933</v>
      </c>
      <c r="P72" s="141">
        <v>19326926</v>
      </c>
      <c r="Q72" s="138">
        <v>0</v>
      </c>
      <c r="R72" s="138">
        <v>1726086</v>
      </c>
      <c r="S72" s="173">
        <v>1351881</v>
      </c>
      <c r="T72" s="141"/>
      <c r="U72" s="137">
        <f t="shared" si="38"/>
        <v>22404893</v>
      </c>
      <c r="V72" s="140">
        <f t="shared" si="39"/>
        <v>1317040</v>
      </c>
      <c r="X72" s="130"/>
      <c r="Y72" s="130"/>
      <c r="AB72" s="131"/>
      <c r="AC72" s="130"/>
    </row>
    <row r="73" spans="2:29" x14ac:dyDescent="0.25">
      <c r="B73" s="11" t="s">
        <v>65</v>
      </c>
      <c r="C73" s="132">
        <v>1724816</v>
      </c>
      <c r="D73" s="133"/>
      <c r="E73" s="134">
        <v>0</v>
      </c>
      <c r="F73" s="135"/>
      <c r="G73" s="135"/>
      <c r="H73" s="135"/>
      <c r="I73" s="135">
        <v>-20002</v>
      </c>
      <c r="J73" s="135"/>
      <c r="K73" s="135"/>
      <c r="L73" s="134"/>
      <c r="M73" s="136"/>
      <c r="N73" s="141">
        <f t="shared" si="37"/>
        <v>1704814</v>
      </c>
      <c r="P73" s="141">
        <v>501452</v>
      </c>
      <c r="Q73" s="138">
        <v>0</v>
      </c>
      <c r="R73" s="138">
        <v>600000</v>
      </c>
      <c r="S73" s="142">
        <v>572666</v>
      </c>
      <c r="T73" s="141"/>
      <c r="U73" s="137">
        <f t="shared" si="38"/>
        <v>1674118</v>
      </c>
      <c r="V73" s="140">
        <f t="shared" si="39"/>
        <v>30696</v>
      </c>
      <c r="X73" s="130"/>
      <c r="Y73" s="130"/>
      <c r="AB73" s="131"/>
      <c r="AC73" s="130"/>
    </row>
    <row r="74" spans="2:29" x14ac:dyDescent="0.25">
      <c r="B74" s="11" t="s">
        <v>37</v>
      </c>
      <c r="C74" s="132">
        <v>11857120</v>
      </c>
      <c r="D74" s="133"/>
      <c r="E74" s="134">
        <v>1296</v>
      </c>
      <c r="F74" s="135"/>
      <c r="G74" s="135"/>
      <c r="H74" s="135"/>
      <c r="I74" s="135">
        <v>-6330500</v>
      </c>
      <c r="J74" s="135"/>
      <c r="K74" s="135"/>
      <c r="L74" s="134"/>
      <c r="M74" s="136"/>
      <c r="N74" s="141">
        <f t="shared" si="37"/>
        <v>5527916</v>
      </c>
      <c r="P74" s="141">
        <v>169803</v>
      </c>
      <c r="Q74" s="138">
        <v>0</v>
      </c>
      <c r="R74" s="138">
        <v>1790000</v>
      </c>
      <c r="S74" s="142">
        <v>2908002</v>
      </c>
      <c r="T74" s="141"/>
      <c r="U74" s="137">
        <f t="shared" si="38"/>
        <v>4867805</v>
      </c>
      <c r="V74" s="140">
        <f t="shared" si="39"/>
        <v>660111</v>
      </c>
      <c r="X74" s="130"/>
      <c r="Y74" s="130"/>
      <c r="AB74" s="131"/>
      <c r="AC74" s="130"/>
    </row>
    <row r="75" spans="2:29" hidden="1" x14ac:dyDescent="0.25">
      <c r="B75" s="11" t="s">
        <v>38</v>
      </c>
      <c r="C75" s="132">
        <v>0</v>
      </c>
      <c r="D75" s="133"/>
      <c r="E75" s="134">
        <v>0</v>
      </c>
      <c r="F75" s="135"/>
      <c r="G75" s="135"/>
      <c r="H75" s="135"/>
      <c r="I75" s="135">
        <v>0</v>
      </c>
      <c r="J75" s="135"/>
      <c r="K75" s="135"/>
      <c r="L75" s="134"/>
      <c r="M75" s="136"/>
      <c r="N75" s="141">
        <f t="shared" si="37"/>
        <v>0</v>
      </c>
      <c r="P75" s="141"/>
      <c r="Q75" s="138"/>
      <c r="R75" s="138"/>
      <c r="S75" s="142"/>
      <c r="T75" s="141"/>
      <c r="U75" s="137">
        <f t="shared" si="38"/>
        <v>0</v>
      </c>
      <c r="V75" s="140">
        <f t="shared" si="39"/>
        <v>0</v>
      </c>
      <c r="X75" s="130"/>
      <c r="Y75" s="130"/>
      <c r="AB75" s="131"/>
      <c r="AC75" s="130"/>
    </row>
    <row r="76" spans="2:29" hidden="1" x14ac:dyDescent="0.25">
      <c r="B76" s="11" t="s">
        <v>39</v>
      </c>
      <c r="C76" s="132">
        <v>0</v>
      </c>
      <c r="D76" s="133"/>
      <c r="E76" s="134">
        <v>0</v>
      </c>
      <c r="F76" s="135"/>
      <c r="G76" s="135"/>
      <c r="H76" s="135"/>
      <c r="I76" s="135">
        <v>0</v>
      </c>
      <c r="J76" s="135"/>
      <c r="K76" s="135"/>
      <c r="L76" s="134"/>
      <c r="M76" s="136"/>
      <c r="N76" s="141">
        <f t="shared" si="37"/>
        <v>0</v>
      </c>
      <c r="P76" s="141"/>
      <c r="Q76" s="138"/>
      <c r="R76" s="138"/>
      <c r="S76" s="142"/>
      <c r="T76" s="141"/>
      <c r="U76" s="137">
        <f t="shared" si="38"/>
        <v>0</v>
      </c>
      <c r="V76" s="140">
        <f t="shared" si="39"/>
        <v>0</v>
      </c>
      <c r="X76" s="130"/>
      <c r="Y76" s="130"/>
      <c r="AB76" s="131"/>
      <c r="AC76" s="130"/>
    </row>
    <row r="77" spans="2:29" hidden="1" x14ac:dyDescent="0.25">
      <c r="B77" s="11" t="s">
        <v>43</v>
      </c>
      <c r="C77" s="132">
        <v>0</v>
      </c>
      <c r="D77" s="133"/>
      <c r="E77" s="134">
        <v>0</v>
      </c>
      <c r="F77" s="135"/>
      <c r="G77" s="135"/>
      <c r="H77" s="135"/>
      <c r="I77" s="135">
        <v>0</v>
      </c>
      <c r="J77" s="135"/>
      <c r="K77" s="135"/>
      <c r="L77" s="134"/>
      <c r="M77" s="136"/>
      <c r="N77" s="141">
        <f t="shared" si="37"/>
        <v>0</v>
      </c>
      <c r="P77" s="141"/>
      <c r="Q77" s="138"/>
      <c r="R77" s="138"/>
      <c r="S77" s="142"/>
      <c r="T77" s="141"/>
      <c r="U77" s="137">
        <f t="shared" si="38"/>
        <v>0</v>
      </c>
      <c r="V77" s="140">
        <f t="shared" si="39"/>
        <v>0</v>
      </c>
      <c r="X77" s="130"/>
      <c r="Y77" s="130"/>
      <c r="AB77" s="131"/>
      <c r="AC77" s="130"/>
    </row>
    <row r="78" spans="2:29" hidden="1" x14ac:dyDescent="0.25">
      <c r="B78" s="11" t="s">
        <v>66</v>
      </c>
      <c r="C78" s="132">
        <v>0</v>
      </c>
      <c r="D78" s="133"/>
      <c r="E78" s="134">
        <v>0</v>
      </c>
      <c r="F78" s="135"/>
      <c r="G78" s="135"/>
      <c r="H78" s="135"/>
      <c r="I78" s="135">
        <v>0</v>
      </c>
      <c r="J78" s="135"/>
      <c r="K78" s="135"/>
      <c r="L78" s="134"/>
      <c r="M78" s="136"/>
      <c r="N78" s="141">
        <f t="shared" si="37"/>
        <v>0</v>
      </c>
      <c r="P78" s="141"/>
      <c r="Q78" s="138"/>
      <c r="R78" s="138"/>
      <c r="S78" s="142"/>
      <c r="T78" s="141"/>
      <c r="U78" s="137">
        <f>SUM(P78:T78)</f>
        <v>0</v>
      </c>
      <c r="V78" s="140">
        <f t="shared" si="39"/>
        <v>0</v>
      </c>
      <c r="X78" s="130"/>
      <c r="Y78" s="130"/>
      <c r="AB78" s="131"/>
      <c r="AC78" s="130"/>
    </row>
    <row r="79" spans="2:29" hidden="1" x14ac:dyDescent="0.25">
      <c r="B79" s="11" t="s">
        <v>40</v>
      </c>
      <c r="C79" s="132">
        <v>0</v>
      </c>
      <c r="D79" s="164"/>
      <c r="E79" s="165">
        <v>0</v>
      </c>
      <c r="F79" s="166"/>
      <c r="G79" s="166"/>
      <c r="H79" s="166"/>
      <c r="I79" s="166">
        <v>0</v>
      </c>
      <c r="J79" s="166"/>
      <c r="K79" s="166"/>
      <c r="L79" s="165"/>
      <c r="M79" s="167"/>
      <c r="N79" s="168">
        <f t="shared" si="37"/>
        <v>0</v>
      </c>
      <c r="P79" s="168"/>
      <c r="Q79" s="169"/>
      <c r="R79" s="169"/>
      <c r="S79" s="142"/>
      <c r="T79" s="141"/>
      <c r="U79" s="137">
        <f t="shared" si="38"/>
        <v>0</v>
      </c>
      <c r="V79" s="140">
        <f t="shared" si="39"/>
        <v>0</v>
      </c>
      <c r="X79" s="130"/>
      <c r="Y79" s="130"/>
      <c r="AB79" s="131"/>
      <c r="AC79" s="130"/>
    </row>
    <row r="80" spans="2:29" hidden="1" x14ac:dyDescent="0.25">
      <c r="B80" s="11" t="s">
        <v>41</v>
      </c>
      <c r="C80" s="132">
        <v>0</v>
      </c>
      <c r="D80" s="164"/>
      <c r="E80" s="165">
        <v>0</v>
      </c>
      <c r="F80" s="166"/>
      <c r="G80" s="166"/>
      <c r="H80" s="166"/>
      <c r="I80" s="166">
        <v>0</v>
      </c>
      <c r="J80" s="166"/>
      <c r="K80" s="166"/>
      <c r="L80" s="165"/>
      <c r="M80" s="167"/>
      <c r="N80" s="168">
        <f t="shared" si="37"/>
        <v>0</v>
      </c>
      <c r="P80" s="168"/>
      <c r="Q80" s="169"/>
      <c r="R80" s="169"/>
      <c r="S80" s="142"/>
      <c r="T80" s="141"/>
      <c r="U80" s="137">
        <f t="shared" si="38"/>
        <v>0</v>
      </c>
      <c r="V80" s="140">
        <f t="shared" si="39"/>
        <v>0</v>
      </c>
      <c r="X80" s="130"/>
      <c r="Y80" s="130"/>
      <c r="AB80" s="131"/>
      <c r="AC80" s="130"/>
    </row>
    <row r="81" spans="2:29" x14ac:dyDescent="0.25">
      <c r="B81" s="6" t="s">
        <v>44</v>
      </c>
      <c r="C81" s="187">
        <f t="shared" ref="C81:N81" si="40">+C82+C95+C99</f>
        <v>1201158848</v>
      </c>
      <c r="D81" s="188">
        <f t="shared" si="40"/>
        <v>0</v>
      </c>
      <c r="E81" s="189">
        <f t="shared" si="40"/>
        <v>24024000</v>
      </c>
      <c r="F81" s="190">
        <f t="shared" si="40"/>
        <v>700650000</v>
      </c>
      <c r="G81" s="190">
        <f t="shared" si="40"/>
        <v>-150000000</v>
      </c>
      <c r="H81" s="190">
        <f t="shared" si="40"/>
        <v>0</v>
      </c>
      <c r="I81" s="190">
        <f t="shared" si="40"/>
        <v>-100873874</v>
      </c>
      <c r="J81" s="190">
        <f t="shared" si="40"/>
        <v>0</v>
      </c>
      <c r="K81" s="190">
        <f t="shared" si="40"/>
        <v>0</v>
      </c>
      <c r="L81" s="189"/>
      <c r="M81" s="191"/>
      <c r="N81" s="170">
        <f t="shared" si="40"/>
        <v>1674958974</v>
      </c>
      <c r="P81" s="170">
        <f t="shared" ref="P81:V81" si="41">+P82+P95+P99</f>
        <v>115050000</v>
      </c>
      <c r="Q81" s="192">
        <f t="shared" si="41"/>
        <v>283844817</v>
      </c>
      <c r="R81" s="192">
        <f t="shared" si="41"/>
        <v>336604882</v>
      </c>
      <c r="S81" s="193">
        <f t="shared" si="41"/>
        <v>869634421</v>
      </c>
      <c r="T81" s="170">
        <f t="shared" si="41"/>
        <v>0</v>
      </c>
      <c r="U81" s="170">
        <f t="shared" si="41"/>
        <v>1605134120</v>
      </c>
      <c r="V81" s="171">
        <f t="shared" si="41"/>
        <v>69824854</v>
      </c>
      <c r="X81" s="130"/>
      <c r="Y81" s="130"/>
      <c r="AB81" s="131"/>
      <c r="AC81" s="130"/>
    </row>
    <row r="82" spans="2:29" x14ac:dyDescent="0.25">
      <c r="B82" s="12" t="s">
        <v>45</v>
      </c>
      <c r="C82" s="187">
        <f>SUM(C83:C94)</f>
        <v>361158848</v>
      </c>
      <c r="D82" s="188">
        <f t="shared" ref="D82:N82" si="42">SUM(D83:D94)</f>
        <v>0</v>
      </c>
      <c r="E82" s="189">
        <f t="shared" si="42"/>
        <v>24024000</v>
      </c>
      <c r="F82" s="190">
        <f t="shared" si="42"/>
        <v>0</v>
      </c>
      <c r="G82" s="190">
        <f t="shared" si="42"/>
        <v>0</v>
      </c>
      <c r="H82" s="190">
        <f t="shared" si="42"/>
        <v>0</v>
      </c>
      <c r="I82" s="190">
        <f t="shared" si="42"/>
        <v>-44091856</v>
      </c>
      <c r="J82" s="190">
        <f t="shared" si="42"/>
        <v>0</v>
      </c>
      <c r="K82" s="190">
        <f t="shared" si="42"/>
        <v>0</v>
      </c>
      <c r="L82" s="189"/>
      <c r="M82" s="191"/>
      <c r="N82" s="170">
        <f t="shared" si="42"/>
        <v>341090992</v>
      </c>
      <c r="P82" s="170">
        <f t="shared" ref="P82:T82" si="43">SUM(P83:P94)</f>
        <v>115050000</v>
      </c>
      <c r="Q82" s="170">
        <f t="shared" si="43"/>
        <v>79844817</v>
      </c>
      <c r="R82" s="170">
        <f t="shared" si="43"/>
        <v>52460981</v>
      </c>
      <c r="S82" s="170">
        <f t="shared" si="43"/>
        <v>24567023</v>
      </c>
      <c r="T82" s="170">
        <f t="shared" si="43"/>
        <v>0</v>
      </c>
      <c r="U82" s="170">
        <f>SUM(U83:U94)</f>
        <v>271922821</v>
      </c>
      <c r="V82" s="171">
        <f>SUM(V83:V94)</f>
        <v>69168171</v>
      </c>
      <c r="X82" s="130"/>
      <c r="Y82" s="130"/>
      <c r="AB82" s="131"/>
      <c r="AC82" s="130"/>
    </row>
    <row r="83" spans="2:29" x14ac:dyDescent="0.25">
      <c r="B83" s="7" t="s">
        <v>112</v>
      </c>
      <c r="C83" s="132">
        <v>84700000</v>
      </c>
      <c r="D83" s="157"/>
      <c r="E83" s="158">
        <v>0</v>
      </c>
      <c r="F83" s="159"/>
      <c r="G83" s="159"/>
      <c r="H83" s="159"/>
      <c r="I83" s="159">
        <v>0</v>
      </c>
      <c r="J83" s="159"/>
      <c r="K83" s="159"/>
      <c r="L83" s="158"/>
      <c r="M83" s="172"/>
      <c r="N83" s="161">
        <f t="shared" ref="N83:N94" si="44">SUM(C83:M83)</f>
        <v>84700000</v>
      </c>
      <c r="P83" s="161">
        <v>70050000</v>
      </c>
      <c r="Q83" s="162">
        <v>4870000</v>
      </c>
      <c r="R83" s="162">
        <v>8400000</v>
      </c>
      <c r="S83" s="142"/>
      <c r="T83" s="141"/>
      <c r="U83" s="137">
        <f t="shared" ref="U83:U94" si="45">SUM(P83:T83)</f>
        <v>83320000</v>
      </c>
      <c r="V83" s="140">
        <f>+N83-U83</f>
        <v>1380000</v>
      </c>
      <c r="X83" s="130"/>
      <c r="Y83" s="130"/>
      <c r="AB83" s="131"/>
      <c r="AC83" s="130"/>
    </row>
    <row r="84" spans="2:29" x14ac:dyDescent="0.25">
      <c r="B84" s="7" t="s">
        <v>71</v>
      </c>
      <c r="C84" s="132">
        <v>16920000</v>
      </c>
      <c r="D84" s="133"/>
      <c r="E84" s="134">
        <v>0</v>
      </c>
      <c r="F84" s="135"/>
      <c r="G84" s="135"/>
      <c r="H84" s="135"/>
      <c r="I84" s="135">
        <v>-133008</v>
      </c>
      <c r="J84" s="135"/>
      <c r="K84" s="135"/>
      <c r="L84" s="134"/>
      <c r="M84" s="136"/>
      <c r="N84" s="141">
        <f t="shared" si="44"/>
        <v>16786992</v>
      </c>
      <c r="P84" s="141"/>
      <c r="Q84" s="138">
        <v>5986992</v>
      </c>
      <c r="R84" s="138">
        <v>3076500</v>
      </c>
      <c r="S84" s="142">
        <v>0</v>
      </c>
      <c r="T84" s="141"/>
      <c r="U84" s="137">
        <f t="shared" si="45"/>
        <v>9063492</v>
      </c>
      <c r="V84" s="140">
        <f>+N84-U84</f>
        <v>7723500</v>
      </c>
      <c r="X84" s="130"/>
      <c r="Y84" s="130"/>
      <c r="AB84" s="131"/>
      <c r="AC84" s="130"/>
    </row>
    <row r="85" spans="2:29" x14ac:dyDescent="0.25">
      <c r="B85" s="7" t="s">
        <v>72</v>
      </c>
      <c r="C85" s="132">
        <v>120800000</v>
      </c>
      <c r="D85" s="133"/>
      <c r="E85" s="134">
        <v>0</v>
      </c>
      <c r="F85" s="135"/>
      <c r="G85" s="135"/>
      <c r="H85" s="135"/>
      <c r="I85" s="135">
        <v>-24800000</v>
      </c>
      <c r="J85" s="135"/>
      <c r="K85" s="135"/>
      <c r="L85" s="134"/>
      <c r="M85" s="136"/>
      <c r="N85" s="141">
        <f t="shared" si="44"/>
        <v>96000000</v>
      </c>
      <c r="P85" s="141">
        <v>45000000</v>
      </c>
      <c r="Q85" s="138">
        <v>45000000</v>
      </c>
      <c r="R85" s="138">
        <v>3202800</v>
      </c>
      <c r="S85" s="142">
        <v>0</v>
      </c>
      <c r="T85" s="141"/>
      <c r="U85" s="137">
        <f t="shared" si="45"/>
        <v>93202800</v>
      </c>
      <c r="V85" s="140">
        <f>+N85-U85</f>
        <v>2797200</v>
      </c>
      <c r="X85" s="130"/>
      <c r="Y85" s="130"/>
      <c r="AB85" s="131"/>
      <c r="AC85" s="130"/>
    </row>
    <row r="86" spans="2:29" x14ac:dyDescent="0.25">
      <c r="B86" s="7" t="s">
        <v>113</v>
      </c>
      <c r="C86" s="132">
        <v>35000000</v>
      </c>
      <c r="D86" s="133"/>
      <c r="E86" s="134">
        <v>0</v>
      </c>
      <c r="F86" s="135"/>
      <c r="G86" s="135"/>
      <c r="H86" s="135"/>
      <c r="I86" s="135">
        <v>0</v>
      </c>
      <c r="J86" s="135"/>
      <c r="K86" s="135"/>
      <c r="L86" s="134"/>
      <c r="M86" s="136"/>
      <c r="N86" s="141">
        <f t="shared" si="44"/>
        <v>35000000</v>
      </c>
      <c r="P86" s="141"/>
      <c r="Q86" s="138"/>
      <c r="R86" s="138">
        <v>17482500</v>
      </c>
      <c r="S86" s="142">
        <v>17482500</v>
      </c>
      <c r="T86" s="141"/>
      <c r="U86" s="137">
        <f t="shared" si="45"/>
        <v>34965000</v>
      </c>
      <c r="V86" s="140">
        <f t="shared" ref="V86:V94" si="46">+N86-U86</f>
        <v>35000</v>
      </c>
      <c r="X86" s="130"/>
      <c r="Y86" s="130"/>
      <c r="AB86" s="131"/>
      <c r="AC86" s="130"/>
    </row>
    <row r="87" spans="2:29" x14ac:dyDescent="0.25">
      <c r="B87" s="7" t="s">
        <v>74</v>
      </c>
      <c r="C87" s="132">
        <v>8280000</v>
      </c>
      <c r="D87" s="133"/>
      <c r="E87" s="134">
        <v>24000</v>
      </c>
      <c r="F87" s="135"/>
      <c r="G87" s="135"/>
      <c r="H87" s="135"/>
      <c r="I87" s="135">
        <v>0</v>
      </c>
      <c r="J87" s="135"/>
      <c r="K87" s="135"/>
      <c r="L87" s="134"/>
      <c r="M87" s="136"/>
      <c r="N87" s="141">
        <f t="shared" si="44"/>
        <v>8304000</v>
      </c>
      <c r="P87" s="141"/>
      <c r="Q87" s="138"/>
      <c r="R87" s="138">
        <v>4000000</v>
      </c>
      <c r="S87" s="142"/>
      <c r="T87" s="141"/>
      <c r="U87" s="137">
        <f t="shared" si="45"/>
        <v>4000000</v>
      </c>
      <c r="V87" s="140">
        <f t="shared" si="46"/>
        <v>4304000</v>
      </c>
      <c r="X87" s="130"/>
      <c r="Y87" s="130"/>
      <c r="AB87" s="131"/>
      <c r="AC87" s="130"/>
    </row>
    <row r="88" spans="2:29" x14ac:dyDescent="0.25">
      <c r="B88" s="7" t="s">
        <v>75</v>
      </c>
      <c r="C88" s="132">
        <v>10000000</v>
      </c>
      <c r="D88" s="133"/>
      <c r="E88" s="134">
        <v>0</v>
      </c>
      <c r="F88" s="135"/>
      <c r="G88" s="135"/>
      <c r="H88" s="135"/>
      <c r="I88" s="135">
        <v>0</v>
      </c>
      <c r="J88" s="135"/>
      <c r="K88" s="135"/>
      <c r="L88" s="134"/>
      <c r="M88" s="136"/>
      <c r="N88" s="141">
        <f t="shared" si="44"/>
        <v>10000000</v>
      </c>
      <c r="P88" s="141"/>
      <c r="Q88" s="138"/>
      <c r="R88" s="138">
        <v>3915677</v>
      </c>
      <c r="S88" s="142">
        <v>4151246</v>
      </c>
      <c r="T88" s="141"/>
      <c r="U88" s="137">
        <f t="shared" si="45"/>
        <v>8066923</v>
      </c>
      <c r="V88" s="140">
        <f t="shared" si="46"/>
        <v>1933077</v>
      </c>
      <c r="X88" s="130"/>
      <c r="Y88" s="130"/>
      <c r="AB88" s="131"/>
      <c r="AC88" s="130"/>
    </row>
    <row r="89" spans="2:29" x14ac:dyDescent="0.25">
      <c r="B89" s="7" t="s">
        <v>76</v>
      </c>
      <c r="C89" s="132">
        <v>21000000</v>
      </c>
      <c r="D89" s="133"/>
      <c r="E89" s="134">
        <v>0</v>
      </c>
      <c r="F89" s="135"/>
      <c r="G89" s="135"/>
      <c r="H89" s="135"/>
      <c r="I89" s="135">
        <v>0</v>
      </c>
      <c r="J89" s="135"/>
      <c r="K89" s="135"/>
      <c r="L89" s="134"/>
      <c r="M89" s="136"/>
      <c r="N89" s="141">
        <f t="shared" si="44"/>
        <v>21000000</v>
      </c>
      <c r="P89" s="141"/>
      <c r="Q89" s="138"/>
      <c r="R89" s="138"/>
      <c r="S89" s="142">
        <v>221436</v>
      </c>
      <c r="T89" s="141"/>
      <c r="U89" s="137">
        <f t="shared" si="45"/>
        <v>221436</v>
      </c>
      <c r="V89" s="140">
        <f t="shared" si="46"/>
        <v>20778564</v>
      </c>
      <c r="X89" s="130"/>
      <c r="Y89" s="130"/>
      <c r="AB89" s="131"/>
      <c r="AC89" s="130"/>
    </row>
    <row r="90" spans="2:29" x14ac:dyDescent="0.25">
      <c r="B90" s="7" t="s">
        <v>77</v>
      </c>
      <c r="C90" s="132">
        <v>6000000</v>
      </c>
      <c r="D90" s="133"/>
      <c r="E90" s="134">
        <v>0</v>
      </c>
      <c r="F90" s="135"/>
      <c r="G90" s="135"/>
      <c r="H90" s="135"/>
      <c r="I90" s="135">
        <v>0</v>
      </c>
      <c r="J90" s="135"/>
      <c r="K90" s="135"/>
      <c r="L90" s="134"/>
      <c r="M90" s="136"/>
      <c r="N90" s="141">
        <f t="shared" si="44"/>
        <v>6000000</v>
      </c>
      <c r="P90" s="141"/>
      <c r="Q90" s="138"/>
      <c r="R90" s="138"/>
      <c r="S90" s="142"/>
      <c r="T90" s="141"/>
      <c r="U90" s="137">
        <f t="shared" si="45"/>
        <v>0</v>
      </c>
      <c r="V90" s="140">
        <f t="shared" si="46"/>
        <v>6000000</v>
      </c>
      <c r="X90" s="130"/>
      <c r="Y90" s="130"/>
      <c r="AB90" s="131"/>
      <c r="AC90" s="130"/>
    </row>
    <row r="91" spans="2:29" x14ac:dyDescent="0.25">
      <c r="B91" s="7" t="s">
        <v>78</v>
      </c>
      <c r="C91" s="132">
        <v>27500000</v>
      </c>
      <c r="D91" s="133"/>
      <c r="E91" s="134">
        <v>0</v>
      </c>
      <c r="F91" s="135"/>
      <c r="G91" s="135"/>
      <c r="H91" s="135"/>
      <c r="I91" s="135">
        <v>-10000000</v>
      </c>
      <c r="J91" s="135"/>
      <c r="K91" s="135"/>
      <c r="L91" s="134"/>
      <c r="M91" s="136"/>
      <c r="N91" s="141">
        <f t="shared" si="44"/>
        <v>17500000</v>
      </c>
      <c r="P91" s="141"/>
      <c r="Q91" s="138"/>
      <c r="R91" s="138">
        <v>12383504</v>
      </c>
      <c r="S91" s="142">
        <v>2711841</v>
      </c>
      <c r="T91" s="141"/>
      <c r="U91" s="137">
        <f t="shared" si="45"/>
        <v>15095345</v>
      </c>
      <c r="V91" s="140">
        <f t="shared" si="46"/>
        <v>2404655</v>
      </c>
      <c r="X91" s="130"/>
      <c r="Y91" s="130"/>
      <c r="AB91" s="131"/>
      <c r="AC91" s="130"/>
    </row>
    <row r="92" spans="2:29" x14ac:dyDescent="0.25">
      <c r="B92" s="7" t="s">
        <v>114</v>
      </c>
      <c r="C92" s="132">
        <v>0</v>
      </c>
      <c r="D92" s="133"/>
      <c r="E92" s="134">
        <v>24000000</v>
      </c>
      <c r="F92" s="135"/>
      <c r="G92" s="135"/>
      <c r="H92" s="135"/>
      <c r="I92" s="135">
        <v>0</v>
      </c>
      <c r="J92" s="135"/>
      <c r="K92" s="135"/>
      <c r="L92" s="134"/>
      <c r="M92" s="136"/>
      <c r="N92" s="141">
        <f t="shared" si="44"/>
        <v>24000000</v>
      </c>
      <c r="P92" s="141"/>
      <c r="Q92" s="138">
        <v>23987825</v>
      </c>
      <c r="R92" s="138"/>
      <c r="S92" s="142"/>
      <c r="T92" s="141"/>
      <c r="U92" s="137">
        <f t="shared" si="45"/>
        <v>23987825</v>
      </c>
      <c r="V92" s="140">
        <f t="shared" si="46"/>
        <v>12175</v>
      </c>
      <c r="X92" s="130"/>
      <c r="Y92" s="130"/>
      <c r="AB92" s="131"/>
      <c r="AC92" s="130"/>
    </row>
    <row r="93" spans="2:29" hidden="1" x14ac:dyDescent="0.25">
      <c r="B93" s="7" t="s">
        <v>80</v>
      </c>
      <c r="C93" s="132">
        <v>9158848</v>
      </c>
      <c r="D93" s="133"/>
      <c r="E93" s="134">
        <v>0</v>
      </c>
      <c r="F93" s="135"/>
      <c r="G93" s="135"/>
      <c r="H93" s="135"/>
      <c r="I93" s="135">
        <v>-9158848</v>
      </c>
      <c r="J93" s="135"/>
      <c r="K93" s="135"/>
      <c r="L93" s="134"/>
      <c r="M93" s="136"/>
      <c r="N93" s="141">
        <f t="shared" si="44"/>
        <v>0</v>
      </c>
      <c r="P93" s="141"/>
      <c r="Q93" s="138"/>
      <c r="R93" s="138"/>
      <c r="S93" s="142"/>
      <c r="T93" s="141"/>
      <c r="U93" s="137">
        <f t="shared" si="45"/>
        <v>0</v>
      </c>
      <c r="V93" s="140">
        <f t="shared" si="46"/>
        <v>0</v>
      </c>
      <c r="X93" s="130"/>
      <c r="Y93" s="130"/>
      <c r="AB93" s="131"/>
      <c r="AC93" s="130"/>
    </row>
    <row r="94" spans="2:29" x14ac:dyDescent="0.25">
      <c r="B94" s="7" t="s">
        <v>115</v>
      </c>
      <c r="C94" s="132">
        <v>21800000</v>
      </c>
      <c r="D94" s="133"/>
      <c r="E94" s="134">
        <v>0</v>
      </c>
      <c r="F94" s="135"/>
      <c r="G94" s="135"/>
      <c r="H94" s="135"/>
      <c r="I94" s="135">
        <v>0</v>
      </c>
      <c r="J94" s="135"/>
      <c r="K94" s="135"/>
      <c r="L94" s="134"/>
      <c r="M94" s="136"/>
      <c r="N94" s="141">
        <f t="shared" si="44"/>
        <v>21800000</v>
      </c>
      <c r="P94" s="141"/>
      <c r="Q94" s="138"/>
      <c r="R94" s="138"/>
      <c r="S94" s="142">
        <v>0</v>
      </c>
      <c r="T94" s="141"/>
      <c r="U94" s="137">
        <f t="shared" si="45"/>
        <v>0</v>
      </c>
      <c r="V94" s="140">
        <f t="shared" si="46"/>
        <v>21800000</v>
      </c>
      <c r="X94" s="130"/>
      <c r="Y94" s="130"/>
      <c r="AB94" s="131"/>
      <c r="AC94" s="130"/>
    </row>
    <row r="95" spans="2:29" x14ac:dyDescent="0.25">
      <c r="B95" s="12" t="s">
        <v>82</v>
      </c>
      <c r="C95" s="187">
        <f>SUM(C96:C98)</f>
        <v>840000000</v>
      </c>
      <c r="D95" s="188">
        <f t="shared" ref="D95:K95" si="47">SUM(D96:D98)</f>
        <v>0</v>
      </c>
      <c r="E95" s="189">
        <f t="shared" si="47"/>
        <v>0</v>
      </c>
      <c r="F95" s="190">
        <f t="shared" si="47"/>
        <v>700650000</v>
      </c>
      <c r="G95" s="190">
        <f t="shared" si="47"/>
        <v>-150000000</v>
      </c>
      <c r="H95" s="190">
        <f t="shared" si="47"/>
        <v>0</v>
      </c>
      <c r="I95" s="190">
        <f t="shared" si="47"/>
        <v>-56782018</v>
      </c>
      <c r="J95" s="190">
        <f t="shared" si="47"/>
        <v>0</v>
      </c>
      <c r="K95" s="190">
        <f t="shared" si="47"/>
        <v>0</v>
      </c>
      <c r="L95" s="189"/>
      <c r="M95" s="191"/>
      <c r="N95" s="170">
        <f>+SUM(N96:N99)</f>
        <v>1333867982</v>
      </c>
      <c r="P95" s="170">
        <f t="shared" ref="P95:T95" si="48">SUM(P96:P98)</f>
        <v>0</v>
      </c>
      <c r="Q95" s="192">
        <f t="shared" si="48"/>
        <v>204000000</v>
      </c>
      <c r="R95" s="192">
        <f t="shared" si="48"/>
        <v>284143901</v>
      </c>
      <c r="S95" s="193">
        <f t="shared" si="48"/>
        <v>845067398</v>
      </c>
      <c r="T95" s="170">
        <f t="shared" si="48"/>
        <v>0</v>
      </c>
      <c r="U95" s="170">
        <f>+SUM(U96:U99)</f>
        <v>1333211299</v>
      </c>
      <c r="V95" s="171">
        <f>+SUM(V96:V99)</f>
        <v>656683</v>
      </c>
      <c r="X95" s="130"/>
      <c r="Y95" s="130"/>
      <c r="AB95" s="131"/>
      <c r="AC95" s="130"/>
    </row>
    <row r="96" spans="2:29" x14ac:dyDescent="0.25">
      <c r="B96" s="7" t="s">
        <v>83</v>
      </c>
      <c r="C96" s="132">
        <v>570000000</v>
      </c>
      <c r="D96" s="157"/>
      <c r="E96" s="158"/>
      <c r="F96" s="159">
        <v>600000000</v>
      </c>
      <c r="G96" s="159"/>
      <c r="H96" s="159"/>
      <c r="I96" s="159">
        <v>-56782018</v>
      </c>
      <c r="J96" s="159"/>
      <c r="K96" s="159"/>
      <c r="L96" s="158"/>
      <c r="M96" s="172"/>
      <c r="N96" s="161">
        <f t="shared" ref="N96:N97" si="49">SUM(C96:M96)</f>
        <v>1113217982</v>
      </c>
      <c r="P96" s="161"/>
      <c r="Q96" s="162">
        <v>180000000</v>
      </c>
      <c r="R96" s="162">
        <v>195951027</v>
      </c>
      <c r="S96" s="142">
        <v>736717398</v>
      </c>
      <c r="T96" s="141"/>
      <c r="U96" s="137">
        <f>SUM(P96:T96)</f>
        <v>1112668425</v>
      </c>
      <c r="V96" s="140">
        <f>+N96-U96</f>
        <v>549557</v>
      </c>
      <c r="X96" s="130"/>
      <c r="Y96" s="130"/>
      <c r="AB96" s="131"/>
      <c r="AC96" s="130"/>
    </row>
    <row r="97" spans="2:29" hidden="1" x14ac:dyDescent="0.25">
      <c r="B97" s="7" t="s">
        <v>84</v>
      </c>
      <c r="C97" s="132">
        <v>150000000</v>
      </c>
      <c r="D97" s="157"/>
      <c r="E97" s="158"/>
      <c r="F97" s="159"/>
      <c r="G97" s="159">
        <v>-150000000</v>
      </c>
      <c r="H97" s="159"/>
      <c r="I97" s="159">
        <v>0</v>
      </c>
      <c r="J97" s="159"/>
      <c r="K97" s="159"/>
      <c r="L97" s="158"/>
      <c r="M97" s="172"/>
      <c r="N97" s="161">
        <f t="shared" si="49"/>
        <v>0</v>
      </c>
      <c r="P97" s="161"/>
      <c r="Q97" s="162">
        <v>0</v>
      </c>
      <c r="R97" s="162"/>
      <c r="S97" s="142"/>
      <c r="T97" s="141"/>
      <c r="U97" s="137">
        <f>SUM(P97:T97)</f>
        <v>0</v>
      </c>
      <c r="V97" s="140">
        <f>+N97-U97</f>
        <v>0</v>
      </c>
      <c r="X97" s="130"/>
      <c r="Y97" s="130"/>
      <c r="AB97" s="131"/>
      <c r="AC97" s="130"/>
    </row>
    <row r="98" spans="2:29" ht="16.5" thickBot="1" x14ac:dyDescent="0.3">
      <c r="B98" s="7" t="s">
        <v>85</v>
      </c>
      <c r="C98" s="132">
        <v>120000000</v>
      </c>
      <c r="D98" s="133"/>
      <c r="E98" s="134"/>
      <c r="F98" s="135">
        <v>100650000</v>
      </c>
      <c r="G98" s="135"/>
      <c r="H98" s="135"/>
      <c r="I98" s="135">
        <v>0</v>
      </c>
      <c r="J98" s="135"/>
      <c r="K98" s="135"/>
      <c r="L98" s="134"/>
      <c r="M98" s="136"/>
      <c r="N98" s="141">
        <f>SUM(C98:M98)</f>
        <v>220650000</v>
      </c>
      <c r="P98" s="141"/>
      <c r="Q98" s="138">
        <v>24000000</v>
      </c>
      <c r="R98" s="138">
        <v>88192874</v>
      </c>
      <c r="S98" s="142">
        <v>108350000</v>
      </c>
      <c r="T98" s="141"/>
      <c r="U98" s="137">
        <f t="shared" ref="U98" si="50">SUM(P98:T98)</f>
        <v>220542874</v>
      </c>
      <c r="V98" s="140">
        <f>+N98-U98</f>
        <v>107126</v>
      </c>
      <c r="X98" s="130"/>
      <c r="Y98" s="130"/>
      <c r="AB98" s="131"/>
      <c r="AC98" s="130"/>
    </row>
    <row r="99" spans="2:29" ht="16.5" hidden="1" thickBot="1" x14ac:dyDescent="0.3">
      <c r="B99" s="12" t="s">
        <v>46</v>
      </c>
      <c r="C99" s="187">
        <f>+C100</f>
        <v>0</v>
      </c>
      <c r="D99" s="188">
        <f t="shared" ref="D99:K99" si="51">+D100</f>
        <v>0</v>
      </c>
      <c r="E99" s="189">
        <f t="shared" si="51"/>
        <v>0</v>
      </c>
      <c r="F99" s="190">
        <f t="shared" si="51"/>
        <v>0</v>
      </c>
      <c r="G99" s="190">
        <f t="shared" si="51"/>
        <v>0</v>
      </c>
      <c r="H99" s="190">
        <f t="shared" si="51"/>
        <v>0</v>
      </c>
      <c r="I99" s="190">
        <f t="shared" si="51"/>
        <v>0</v>
      </c>
      <c r="J99" s="190">
        <f t="shared" si="51"/>
        <v>0</v>
      </c>
      <c r="K99" s="190">
        <f t="shared" si="51"/>
        <v>0</v>
      </c>
      <c r="L99" s="189"/>
      <c r="M99" s="191"/>
      <c r="N99" s="170">
        <v>0</v>
      </c>
      <c r="P99" s="170">
        <f t="shared" ref="P99:T99" si="52">+P100</f>
        <v>0</v>
      </c>
      <c r="Q99" s="192">
        <f t="shared" si="52"/>
        <v>0</v>
      </c>
      <c r="R99" s="192">
        <f t="shared" si="52"/>
        <v>0</v>
      </c>
      <c r="S99" s="193">
        <f t="shared" si="52"/>
        <v>0</v>
      </c>
      <c r="T99" s="170">
        <f t="shared" si="52"/>
        <v>0</v>
      </c>
      <c r="U99" s="170">
        <v>0</v>
      </c>
      <c r="V99" s="171">
        <v>0</v>
      </c>
      <c r="X99" s="130"/>
      <c r="Y99" s="130"/>
      <c r="AB99" s="131"/>
      <c r="AC99" s="130"/>
    </row>
    <row r="100" spans="2:29" ht="16.5" hidden="1" thickBot="1" x14ac:dyDescent="0.3">
      <c r="B100" s="7"/>
      <c r="C100" s="132"/>
      <c r="D100" s="133"/>
      <c r="E100" s="134"/>
      <c r="F100" s="135"/>
      <c r="G100" s="135"/>
      <c r="H100" s="135"/>
      <c r="I100" s="135"/>
      <c r="J100" s="135"/>
      <c r="K100" s="135"/>
      <c r="L100" s="134"/>
      <c r="M100" s="136"/>
      <c r="N100" s="141"/>
      <c r="P100" s="141">
        <v>0</v>
      </c>
      <c r="Q100" s="138">
        <v>0</v>
      </c>
      <c r="R100" s="138">
        <v>0</v>
      </c>
      <c r="S100" s="142">
        <v>0</v>
      </c>
      <c r="T100" s="141"/>
      <c r="U100" s="137"/>
      <c r="V100" s="140"/>
      <c r="X100" s="130"/>
      <c r="Y100" s="130"/>
      <c r="AB100" s="131"/>
      <c r="AC100" s="130"/>
    </row>
    <row r="101" spans="2:29" ht="16.5" hidden="1" thickBot="1" x14ac:dyDescent="0.3">
      <c r="B101" s="9"/>
      <c r="C101" s="214"/>
      <c r="D101" s="164"/>
      <c r="E101" s="165"/>
      <c r="F101" s="166"/>
      <c r="G101" s="166"/>
      <c r="H101" s="166"/>
      <c r="I101" s="166"/>
      <c r="J101" s="166"/>
      <c r="K101" s="166"/>
      <c r="L101" s="165"/>
      <c r="M101" s="167"/>
      <c r="N101" s="168"/>
      <c r="P101" s="168">
        <v>0</v>
      </c>
      <c r="Q101" s="169">
        <v>0</v>
      </c>
      <c r="R101" s="169">
        <v>0</v>
      </c>
      <c r="S101" s="215">
        <v>0</v>
      </c>
      <c r="T101" s="168"/>
      <c r="U101" s="137"/>
      <c r="V101" s="140"/>
      <c r="Y101" s="130"/>
      <c r="AC101" s="130"/>
    </row>
    <row r="102" spans="2:29" x14ac:dyDescent="0.25">
      <c r="B102" s="86" t="s">
        <v>88</v>
      </c>
      <c r="C102" s="216">
        <f t="shared" ref="C102:N102" si="53">+C50+C19+C48</f>
        <v>4674542781.8999996</v>
      </c>
      <c r="D102" s="217">
        <f t="shared" si="53"/>
        <v>0</v>
      </c>
      <c r="E102" s="218">
        <f>+E50+E19+E48</f>
        <v>49654478.983999997</v>
      </c>
      <c r="F102" s="219">
        <f t="shared" ref="F102:K102" si="54">+F50+F19+F48</f>
        <v>710352500</v>
      </c>
      <c r="G102" s="219">
        <f t="shared" si="54"/>
        <v>-150000000</v>
      </c>
      <c r="H102" s="219">
        <f t="shared" si="54"/>
        <v>46172000</v>
      </c>
      <c r="I102" s="219">
        <f t="shared" si="54"/>
        <v>-772904529</v>
      </c>
      <c r="J102" s="219">
        <f t="shared" si="54"/>
        <v>8925957.9000000004</v>
      </c>
      <c r="K102" s="219">
        <f t="shared" si="54"/>
        <v>2451000</v>
      </c>
      <c r="L102" s="218"/>
      <c r="M102" s="220"/>
      <c r="N102" s="221">
        <f t="shared" si="53"/>
        <v>4569194189.7840004</v>
      </c>
      <c r="P102" s="221">
        <f t="shared" ref="P102:V102" si="55">+P50+P19+P48</f>
        <v>843667850</v>
      </c>
      <c r="Q102" s="222">
        <f t="shared" si="55"/>
        <v>897586783.70000005</v>
      </c>
      <c r="R102" s="222">
        <f t="shared" si="55"/>
        <v>955468017.5</v>
      </c>
      <c r="S102" s="221">
        <f t="shared" si="55"/>
        <v>1534275972.5</v>
      </c>
      <c r="T102" s="223">
        <f t="shared" si="55"/>
        <v>1.1000000000000001</v>
      </c>
      <c r="U102" s="221">
        <f>+U50+U19+U48</f>
        <v>4230998624.8000002</v>
      </c>
      <c r="V102" s="223">
        <f t="shared" si="55"/>
        <v>338195564.98400003</v>
      </c>
      <c r="X102" s="130"/>
      <c r="Y102" s="130"/>
      <c r="AB102" s="131"/>
      <c r="AC102" s="130"/>
    </row>
    <row r="103" spans="2:29" x14ac:dyDescent="0.25">
      <c r="B103" s="13" t="s">
        <v>47</v>
      </c>
      <c r="C103" s="187">
        <f t="shared" ref="C103:N103" si="56">+C17-C102</f>
        <v>6073674351.152338</v>
      </c>
      <c r="D103" s="188">
        <f t="shared" si="56"/>
        <v>814112424</v>
      </c>
      <c r="E103" s="189">
        <f t="shared" si="56"/>
        <v>-49654478.983999997</v>
      </c>
      <c r="F103" s="190">
        <f t="shared" si="56"/>
        <v>-520352500</v>
      </c>
      <c r="G103" s="190">
        <f t="shared" si="56"/>
        <v>150000000</v>
      </c>
      <c r="H103" s="190">
        <f t="shared" si="56"/>
        <v>-46172000</v>
      </c>
      <c r="I103" s="190">
        <f t="shared" si="56"/>
        <v>772904529</v>
      </c>
      <c r="J103" s="190">
        <f t="shared" si="56"/>
        <v>148333621.09999999</v>
      </c>
      <c r="K103" s="190">
        <f t="shared" si="56"/>
        <v>42882000</v>
      </c>
      <c r="L103" s="189"/>
      <c r="M103" s="191"/>
      <c r="N103" s="170">
        <f t="shared" si="56"/>
        <v>7385727946.2683372</v>
      </c>
      <c r="P103" s="170">
        <f t="shared" ref="P103:V103" si="57">+P17-P102</f>
        <v>690578519</v>
      </c>
      <c r="Q103" s="192">
        <f t="shared" si="57"/>
        <v>385051375.29999995</v>
      </c>
      <c r="R103" s="192">
        <f t="shared" si="57"/>
        <v>355448699.5</v>
      </c>
      <c r="S103" s="170">
        <f t="shared" si="57"/>
        <v>-0.25</v>
      </c>
      <c r="T103" s="171">
        <f t="shared" si="57"/>
        <v>5656257276.6999998</v>
      </c>
      <c r="U103" s="170">
        <f t="shared" si="57"/>
        <v>7087335870.249999</v>
      </c>
      <c r="V103" s="171">
        <f t="shared" si="57"/>
        <v>298392076.01833743</v>
      </c>
      <c r="X103" s="130"/>
      <c r="Y103" s="130"/>
      <c r="AB103" s="131"/>
      <c r="AC103" s="130"/>
    </row>
    <row r="104" spans="2:29" ht="16.5" thickBot="1" x14ac:dyDescent="0.3">
      <c r="B104" s="14" t="s">
        <v>48</v>
      </c>
      <c r="C104" s="224">
        <f>SUM(C102:C103)</f>
        <v>10748217133.052338</v>
      </c>
      <c r="D104" s="225">
        <f t="shared" ref="D104:K104" si="58">SUM(D102:D103)</f>
        <v>814112424</v>
      </c>
      <c r="E104" s="226">
        <f t="shared" si="58"/>
        <v>0</v>
      </c>
      <c r="F104" s="227">
        <f t="shared" si="58"/>
        <v>190000000</v>
      </c>
      <c r="G104" s="227">
        <f t="shared" si="58"/>
        <v>0</v>
      </c>
      <c r="H104" s="227">
        <f t="shared" si="58"/>
        <v>0</v>
      </c>
      <c r="I104" s="227">
        <f t="shared" si="58"/>
        <v>0</v>
      </c>
      <c r="J104" s="227">
        <f t="shared" si="58"/>
        <v>157259579</v>
      </c>
      <c r="K104" s="227">
        <f t="shared" si="58"/>
        <v>45333000</v>
      </c>
      <c r="L104" s="226"/>
      <c r="M104" s="228"/>
      <c r="N104" s="229">
        <f>SUM(N102:N103)</f>
        <v>11954922136.052338</v>
      </c>
      <c r="P104" s="229">
        <f t="shared" ref="P104:T104" si="59">SUM(P102:P103)</f>
        <v>1534246369</v>
      </c>
      <c r="Q104" s="230">
        <f t="shared" si="59"/>
        <v>1282638159</v>
      </c>
      <c r="R104" s="230">
        <f t="shared" si="59"/>
        <v>1310916717</v>
      </c>
      <c r="S104" s="229">
        <f t="shared" si="59"/>
        <v>1534275972.25</v>
      </c>
      <c r="T104" s="231">
        <f t="shared" si="59"/>
        <v>5656257277.8000002</v>
      </c>
      <c r="U104" s="229">
        <f>SUM(U102:U103)</f>
        <v>11318334495.049999</v>
      </c>
      <c r="V104" s="231">
        <f>SUM(V102:V103)</f>
        <v>636587641.00233746</v>
      </c>
      <c r="X104" s="130"/>
      <c r="Y104" s="130"/>
      <c r="AB104" s="131"/>
      <c r="AC104" s="130"/>
    </row>
    <row r="105" spans="2:29" x14ac:dyDescent="0.25">
      <c r="X105" s="130"/>
      <c r="AC105" s="130"/>
    </row>
    <row r="106" spans="2:29" x14ac:dyDescent="0.25">
      <c r="X106" s="130"/>
      <c r="AC106" s="130"/>
    </row>
    <row r="108" spans="2:29" x14ac:dyDescent="0.25">
      <c r="T108" s="105" t="s">
        <v>116</v>
      </c>
      <c r="U108" s="105">
        <f>+'[4]ESTADO DE RESULTADOS FNFP ( (4'!$C$15</f>
        <v>4229223421</v>
      </c>
    </row>
    <row r="109" spans="2:29" x14ac:dyDescent="0.25">
      <c r="T109" s="105" t="s">
        <v>117</v>
      </c>
      <c r="U109" s="105">
        <f>(+'[4]BAL F.08 12 2020 (2)'!$P$157+'[4]BAL F.08 12 2020 (2)'!$P$158+'[4]BAL F.08 12 2020 (2)'!$P$159+'[4]BAL F.08 12 2020 (2)'!$P$160)*-1</f>
        <v>-74355903</v>
      </c>
    </row>
    <row r="110" spans="2:29" x14ac:dyDescent="0.25">
      <c r="T110" s="105" t="s">
        <v>118</v>
      </c>
      <c r="U110" s="105">
        <f>+'[5]AÑO 2020 '!$Q$29</f>
        <v>76131106</v>
      </c>
    </row>
    <row r="111" spans="2:29" x14ac:dyDescent="0.25">
      <c r="U111" s="105">
        <f>SUM(U108:U110)</f>
        <v>4230998624</v>
      </c>
    </row>
    <row r="112" spans="2:29" x14ac:dyDescent="0.25">
      <c r="T112" s="105" t="s">
        <v>119</v>
      </c>
      <c r="U112" s="105">
        <f>+U102</f>
        <v>4230998624.8000002</v>
      </c>
    </row>
    <row r="113" spans="21:21" x14ac:dyDescent="0.25">
      <c r="U113" s="105">
        <f>+U111-U112</f>
        <v>-0.80000019073486328</v>
      </c>
    </row>
  </sheetData>
  <autoFilter ref="B7:V104"/>
  <mergeCells count="6">
    <mergeCell ref="B7:B8"/>
    <mergeCell ref="B2:N2"/>
    <mergeCell ref="B3:N3"/>
    <mergeCell ref="B4:N4"/>
    <mergeCell ref="B5:N5"/>
    <mergeCell ref="B6:N6"/>
  </mergeCells>
  <printOptions gridLines="1"/>
  <pageMargins left="0.19685039370078741" right="0.19685039370078741" top="0.39370078740157483" bottom="0.39370078740157483" header="0.51181102362204722" footer="0.51181102362204722"/>
  <pageSetup scale="60" fitToHeight="2" orientation="landscape" horizont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9"/>
  <sheetViews>
    <sheetView tabSelected="1" topLeftCell="B1" zoomScale="80" zoomScaleNormal="80" workbookViewId="0">
      <pane ySplit="1" topLeftCell="A2" activePane="bottomLeft" state="frozen"/>
      <selection activeCell="B1" sqref="B1"/>
      <selection pane="bottomLeft" activeCell="E40" sqref="E40"/>
    </sheetView>
  </sheetViews>
  <sheetFormatPr baseColWidth="10" defaultRowHeight="15.75" outlineLevelCol="1" x14ac:dyDescent="0.25"/>
  <cols>
    <col min="1" max="1" width="0.7109375" style="1" hidden="1" customWidth="1"/>
    <col min="2" max="2" width="34.42578125" style="1" customWidth="1"/>
    <col min="3" max="11" width="20" style="324" customWidth="1" outlineLevel="1"/>
    <col min="12" max="12" width="18.7109375" style="324" customWidth="1" outlineLevel="1"/>
    <col min="13" max="13" width="17.85546875" style="324" customWidth="1" outlineLevel="1"/>
    <col min="14" max="14" width="20" style="324" customWidth="1"/>
    <col min="15" max="15" width="9.42578125" style="104" customWidth="1"/>
    <col min="16" max="16" width="20.7109375" style="324" customWidth="1"/>
    <col min="17" max="17" width="20.5703125" style="324" customWidth="1"/>
    <col min="18" max="18" width="20.7109375" style="324" customWidth="1"/>
    <col min="19" max="19" width="18.7109375" style="324" customWidth="1"/>
    <col min="20" max="20" width="20.7109375" style="324" customWidth="1" outlineLevel="1"/>
    <col min="21" max="21" width="20.7109375" style="324" customWidth="1"/>
    <col min="22" max="22" width="19.85546875" style="324" customWidth="1"/>
    <col min="23" max="23" width="20.42578125" style="106" customWidth="1"/>
    <col min="24" max="24" width="31.5703125" style="15" bestFit="1" customWidth="1"/>
    <col min="25" max="25" width="21.140625" style="1" customWidth="1"/>
    <col min="26" max="27" width="11.42578125" style="1"/>
    <col min="28" max="28" width="17.85546875" style="1" bestFit="1" customWidth="1"/>
    <col min="29" max="29" width="15" style="1" bestFit="1" customWidth="1"/>
    <col min="30" max="245" width="11.42578125" style="1"/>
    <col min="246" max="246" width="0.7109375" style="1" customWidth="1"/>
    <col min="247" max="247" width="42.28515625" style="1" bestFit="1" customWidth="1"/>
    <col min="248" max="249" width="13.85546875" style="1" bestFit="1" customWidth="1"/>
    <col min="250" max="250" width="11.140625" style="1" bestFit="1" customWidth="1"/>
    <col min="251" max="251" width="13.85546875" style="1" bestFit="1" customWidth="1"/>
    <col min="252" max="252" width="3.7109375" style="1" bestFit="1" customWidth="1"/>
    <col min="253" max="253" width="7.5703125" style="1" bestFit="1" customWidth="1"/>
    <col min="254" max="254" width="16.7109375" style="1" bestFit="1" customWidth="1"/>
    <col min="255" max="256" width="12.28515625" style="1" bestFit="1" customWidth="1"/>
    <col min="257" max="501" width="11.42578125" style="1"/>
    <col min="502" max="502" width="0.7109375" style="1" customWidth="1"/>
    <col min="503" max="503" width="42.28515625" style="1" bestFit="1" customWidth="1"/>
    <col min="504" max="505" width="13.85546875" style="1" bestFit="1" customWidth="1"/>
    <col min="506" max="506" width="11.140625" style="1" bestFit="1" customWidth="1"/>
    <col min="507" max="507" width="13.85546875" style="1" bestFit="1" customWidth="1"/>
    <col min="508" max="508" width="3.7109375" style="1" bestFit="1" customWidth="1"/>
    <col min="509" max="509" width="7.5703125" style="1" bestFit="1" customWidth="1"/>
    <col min="510" max="510" width="16.7109375" style="1" bestFit="1" customWidth="1"/>
    <col min="511" max="512" width="12.28515625" style="1" bestFit="1" customWidth="1"/>
    <col min="513" max="757" width="11.42578125" style="1"/>
    <col min="758" max="758" width="0.7109375" style="1" customWidth="1"/>
    <col min="759" max="759" width="42.28515625" style="1" bestFit="1" customWidth="1"/>
    <col min="760" max="761" width="13.85546875" style="1" bestFit="1" customWidth="1"/>
    <col min="762" max="762" width="11.140625" style="1" bestFit="1" customWidth="1"/>
    <col min="763" max="763" width="13.85546875" style="1" bestFit="1" customWidth="1"/>
    <col min="764" max="764" width="3.7109375" style="1" bestFit="1" customWidth="1"/>
    <col min="765" max="765" width="7.5703125" style="1" bestFit="1" customWidth="1"/>
    <col min="766" max="766" width="16.7109375" style="1" bestFit="1" customWidth="1"/>
    <col min="767" max="768" width="12.28515625" style="1" bestFit="1" customWidth="1"/>
    <col min="769" max="1013" width="11.42578125" style="1"/>
    <col min="1014" max="1014" width="0.7109375" style="1" customWidth="1"/>
    <col min="1015" max="1015" width="42.28515625" style="1" bestFit="1" customWidth="1"/>
    <col min="1016" max="1017" width="13.85546875" style="1" bestFit="1" customWidth="1"/>
    <col min="1018" max="1018" width="11.140625" style="1" bestFit="1" customWidth="1"/>
    <col min="1019" max="1019" width="13.85546875" style="1" bestFit="1" customWidth="1"/>
    <col min="1020" max="1020" width="3.7109375" style="1" bestFit="1" customWidth="1"/>
    <col min="1021" max="1021" width="7.5703125" style="1" bestFit="1" customWidth="1"/>
    <col min="1022" max="1022" width="16.7109375" style="1" bestFit="1" customWidth="1"/>
    <col min="1023" max="1024" width="12.28515625" style="1" bestFit="1" customWidth="1"/>
    <col min="1025" max="1269" width="11.42578125" style="1"/>
    <col min="1270" max="1270" width="0.7109375" style="1" customWidth="1"/>
    <col min="1271" max="1271" width="42.28515625" style="1" bestFit="1" customWidth="1"/>
    <col min="1272" max="1273" width="13.85546875" style="1" bestFit="1" customWidth="1"/>
    <col min="1274" max="1274" width="11.140625" style="1" bestFit="1" customWidth="1"/>
    <col min="1275" max="1275" width="13.85546875" style="1" bestFit="1" customWidth="1"/>
    <col min="1276" max="1276" width="3.7109375" style="1" bestFit="1" customWidth="1"/>
    <col min="1277" max="1277" width="7.5703125" style="1" bestFit="1" customWidth="1"/>
    <col min="1278" max="1278" width="16.7109375" style="1" bestFit="1" customWidth="1"/>
    <col min="1279" max="1280" width="12.28515625" style="1" bestFit="1" customWidth="1"/>
    <col min="1281" max="1525" width="11.42578125" style="1"/>
    <col min="1526" max="1526" width="0.7109375" style="1" customWidth="1"/>
    <col min="1527" max="1527" width="42.28515625" style="1" bestFit="1" customWidth="1"/>
    <col min="1528" max="1529" width="13.85546875" style="1" bestFit="1" customWidth="1"/>
    <col min="1530" max="1530" width="11.140625" style="1" bestFit="1" customWidth="1"/>
    <col min="1531" max="1531" width="13.85546875" style="1" bestFit="1" customWidth="1"/>
    <col min="1532" max="1532" width="3.7109375" style="1" bestFit="1" customWidth="1"/>
    <col min="1533" max="1533" width="7.5703125" style="1" bestFit="1" customWidth="1"/>
    <col min="1534" max="1534" width="16.7109375" style="1" bestFit="1" customWidth="1"/>
    <col min="1535" max="1536" width="12.28515625" style="1" bestFit="1" customWidth="1"/>
    <col min="1537" max="1781" width="11.42578125" style="1"/>
    <col min="1782" max="1782" width="0.7109375" style="1" customWidth="1"/>
    <col min="1783" max="1783" width="42.28515625" style="1" bestFit="1" customWidth="1"/>
    <col min="1784" max="1785" width="13.85546875" style="1" bestFit="1" customWidth="1"/>
    <col min="1786" max="1786" width="11.140625" style="1" bestFit="1" customWidth="1"/>
    <col min="1787" max="1787" width="13.85546875" style="1" bestFit="1" customWidth="1"/>
    <col min="1788" max="1788" width="3.7109375" style="1" bestFit="1" customWidth="1"/>
    <col min="1789" max="1789" width="7.5703125" style="1" bestFit="1" customWidth="1"/>
    <col min="1790" max="1790" width="16.7109375" style="1" bestFit="1" customWidth="1"/>
    <col min="1791" max="1792" width="12.28515625" style="1" bestFit="1" customWidth="1"/>
    <col min="1793" max="2037" width="11.42578125" style="1"/>
    <col min="2038" max="2038" width="0.7109375" style="1" customWidth="1"/>
    <col min="2039" max="2039" width="42.28515625" style="1" bestFit="1" customWidth="1"/>
    <col min="2040" max="2041" width="13.85546875" style="1" bestFit="1" customWidth="1"/>
    <col min="2042" max="2042" width="11.140625" style="1" bestFit="1" customWidth="1"/>
    <col min="2043" max="2043" width="13.85546875" style="1" bestFit="1" customWidth="1"/>
    <col min="2044" max="2044" width="3.7109375" style="1" bestFit="1" customWidth="1"/>
    <col min="2045" max="2045" width="7.5703125" style="1" bestFit="1" customWidth="1"/>
    <col min="2046" max="2046" width="16.7109375" style="1" bestFit="1" customWidth="1"/>
    <col min="2047" max="2048" width="12.28515625" style="1" bestFit="1" customWidth="1"/>
    <col min="2049" max="2293" width="11.42578125" style="1"/>
    <col min="2294" max="2294" width="0.7109375" style="1" customWidth="1"/>
    <col min="2295" max="2295" width="42.28515625" style="1" bestFit="1" customWidth="1"/>
    <col min="2296" max="2297" width="13.85546875" style="1" bestFit="1" customWidth="1"/>
    <col min="2298" max="2298" width="11.140625" style="1" bestFit="1" customWidth="1"/>
    <col min="2299" max="2299" width="13.85546875" style="1" bestFit="1" customWidth="1"/>
    <col min="2300" max="2300" width="3.7109375" style="1" bestFit="1" customWidth="1"/>
    <col min="2301" max="2301" width="7.5703125" style="1" bestFit="1" customWidth="1"/>
    <col min="2302" max="2302" width="16.7109375" style="1" bestFit="1" customWidth="1"/>
    <col min="2303" max="2304" width="12.28515625" style="1" bestFit="1" customWidth="1"/>
    <col min="2305" max="2549" width="11.42578125" style="1"/>
    <col min="2550" max="2550" width="0.7109375" style="1" customWidth="1"/>
    <col min="2551" max="2551" width="42.28515625" style="1" bestFit="1" customWidth="1"/>
    <col min="2552" max="2553" width="13.85546875" style="1" bestFit="1" customWidth="1"/>
    <col min="2554" max="2554" width="11.140625" style="1" bestFit="1" customWidth="1"/>
    <col min="2555" max="2555" width="13.85546875" style="1" bestFit="1" customWidth="1"/>
    <col min="2556" max="2556" width="3.7109375" style="1" bestFit="1" customWidth="1"/>
    <col min="2557" max="2557" width="7.5703125" style="1" bestFit="1" customWidth="1"/>
    <col min="2558" max="2558" width="16.7109375" style="1" bestFit="1" customWidth="1"/>
    <col min="2559" max="2560" width="12.28515625" style="1" bestFit="1" customWidth="1"/>
    <col min="2561" max="2805" width="11.42578125" style="1"/>
    <col min="2806" max="2806" width="0.7109375" style="1" customWidth="1"/>
    <col min="2807" max="2807" width="42.28515625" style="1" bestFit="1" customWidth="1"/>
    <col min="2808" max="2809" width="13.85546875" style="1" bestFit="1" customWidth="1"/>
    <col min="2810" max="2810" width="11.140625" style="1" bestFit="1" customWidth="1"/>
    <col min="2811" max="2811" width="13.85546875" style="1" bestFit="1" customWidth="1"/>
    <col min="2812" max="2812" width="3.7109375" style="1" bestFit="1" customWidth="1"/>
    <col min="2813" max="2813" width="7.5703125" style="1" bestFit="1" customWidth="1"/>
    <col min="2814" max="2814" width="16.7109375" style="1" bestFit="1" customWidth="1"/>
    <col min="2815" max="2816" width="12.28515625" style="1" bestFit="1" customWidth="1"/>
    <col min="2817" max="3061" width="11.42578125" style="1"/>
    <col min="3062" max="3062" width="0.7109375" style="1" customWidth="1"/>
    <col min="3063" max="3063" width="42.28515625" style="1" bestFit="1" customWidth="1"/>
    <col min="3064" max="3065" width="13.85546875" style="1" bestFit="1" customWidth="1"/>
    <col min="3066" max="3066" width="11.140625" style="1" bestFit="1" customWidth="1"/>
    <col min="3067" max="3067" width="13.85546875" style="1" bestFit="1" customWidth="1"/>
    <col min="3068" max="3068" width="3.7109375" style="1" bestFit="1" customWidth="1"/>
    <col min="3069" max="3069" width="7.5703125" style="1" bestFit="1" customWidth="1"/>
    <col min="3070" max="3070" width="16.7109375" style="1" bestFit="1" customWidth="1"/>
    <col min="3071" max="3072" width="12.28515625" style="1" bestFit="1" customWidth="1"/>
    <col min="3073" max="3317" width="11.42578125" style="1"/>
    <col min="3318" max="3318" width="0.7109375" style="1" customWidth="1"/>
    <col min="3319" max="3319" width="42.28515625" style="1" bestFit="1" customWidth="1"/>
    <col min="3320" max="3321" width="13.85546875" style="1" bestFit="1" customWidth="1"/>
    <col min="3322" max="3322" width="11.140625" style="1" bestFit="1" customWidth="1"/>
    <col min="3323" max="3323" width="13.85546875" style="1" bestFit="1" customWidth="1"/>
    <col min="3324" max="3324" width="3.7109375" style="1" bestFit="1" customWidth="1"/>
    <col min="3325" max="3325" width="7.5703125" style="1" bestFit="1" customWidth="1"/>
    <col min="3326" max="3326" width="16.7109375" style="1" bestFit="1" customWidth="1"/>
    <col min="3327" max="3328" width="12.28515625" style="1" bestFit="1" customWidth="1"/>
    <col min="3329" max="3573" width="11.42578125" style="1"/>
    <col min="3574" max="3574" width="0.7109375" style="1" customWidth="1"/>
    <col min="3575" max="3575" width="42.28515625" style="1" bestFit="1" customWidth="1"/>
    <col min="3576" max="3577" width="13.85546875" style="1" bestFit="1" customWidth="1"/>
    <col min="3578" max="3578" width="11.140625" style="1" bestFit="1" customWidth="1"/>
    <col min="3579" max="3579" width="13.85546875" style="1" bestFit="1" customWidth="1"/>
    <col min="3580" max="3580" width="3.7109375" style="1" bestFit="1" customWidth="1"/>
    <col min="3581" max="3581" width="7.5703125" style="1" bestFit="1" customWidth="1"/>
    <col min="3582" max="3582" width="16.7109375" style="1" bestFit="1" customWidth="1"/>
    <col min="3583" max="3584" width="12.28515625" style="1" bestFit="1" customWidth="1"/>
    <col min="3585" max="3829" width="11.42578125" style="1"/>
    <col min="3830" max="3830" width="0.7109375" style="1" customWidth="1"/>
    <col min="3831" max="3831" width="42.28515625" style="1" bestFit="1" customWidth="1"/>
    <col min="3832" max="3833" width="13.85546875" style="1" bestFit="1" customWidth="1"/>
    <col min="3834" max="3834" width="11.140625" style="1" bestFit="1" customWidth="1"/>
    <col min="3835" max="3835" width="13.85546875" style="1" bestFit="1" customWidth="1"/>
    <col min="3836" max="3836" width="3.7109375" style="1" bestFit="1" customWidth="1"/>
    <col min="3837" max="3837" width="7.5703125" style="1" bestFit="1" customWidth="1"/>
    <col min="3838" max="3838" width="16.7109375" style="1" bestFit="1" customWidth="1"/>
    <col min="3839" max="3840" width="12.28515625" style="1" bestFit="1" customWidth="1"/>
    <col min="3841" max="4085" width="11.42578125" style="1"/>
    <col min="4086" max="4086" width="0.7109375" style="1" customWidth="1"/>
    <col min="4087" max="4087" width="42.28515625" style="1" bestFit="1" customWidth="1"/>
    <col min="4088" max="4089" width="13.85546875" style="1" bestFit="1" customWidth="1"/>
    <col min="4090" max="4090" width="11.140625" style="1" bestFit="1" customWidth="1"/>
    <col min="4091" max="4091" width="13.85546875" style="1" bestFit="1" customWidth="1"/>
    <col min="4092" max="4092" width="3.7109375" style="1" bestFit="1" customWidth="1"/>
    <col min="4093" max="4093" width="7.5703125" style="1" bestFit="1" customWidth="1"/>
    <col min="4094" max="4094" width="16.7109375" style="1" bestFit="1" customWidth="1"/>
    <col min="4095" max="4096" width="12.28515625" style="1" bestFit="1" customWidth="1"/>
    <col min="4097" max="4341" width="11.42578125" style="1"/>
    <col min="4342" max="4342" width="0.7109375" style="1" customWidth="1"/>
    <col min="4343" max="4343" width="42.28515625" style="1" bestFit="1" customWidth="1"/>
    <col min="4344" max="4345" width="13.85546875" style="1" bestFit="1" customWidth="1"/>
    <col min="4346" max="4346" width="11.140625" style="1" bestFit="1" customWidth="1"/>
    <col min="4347" max="4347" width="13.85546875" style="1" bestFit="1" customWidth="1"/>
    <col min="4348" max="4348" width="3.7109375" style="1" bestFit="1" customWidth="1"/>
    <col min="4349" max="4349" width="7.5703125" style="1" bestFit="1" customWidth="1"/>
    <col min="4350" max="4350" width="16.7109375" style="1" bestFit="1" customWidth="1"/>
    <col min="4351" max="4352" width="12.28515625" style="1" bestFit="1" customWidth="1"/>
    <col min="4353" max="4597" width="11.42578125" style="1"/>
    <col min="4598" max="4598" width="0.7109375" style="1" customWidth="1"/>
    <col min="4599" max="4599" width="42.28515625" style="1" bestFit="1" customWidth="1"/>
    <col min="4600" max="4601" width="13.85546875" style="1" bestFit="1" customWidth="1"/>
    <col min="4602" max="4602" width="11.140625" style="1" bestFit="1" customWidth="1"/>
    <col min="4603" max="4603" width="13.85546875" style="1" bestFit="1" customWidth="1"/>
    <col min="4604" max="4604" width="3.7109375" style="1" bestFit="1" customWidth="1"/>
    <col min="4605" max="4605" width="7.5703125" style="1" bestFit="1" customWidth="1"/>
    <col min="4606" max="4606" width="16.7109375" style="1" bestFit="1" customWidth="1"/>
    <col min="4607" max="4608" width="12.28515625" style="1" bestFit="1" customWidth="1"/>
    <col min="4609" max="4853" width="11.42578125" style="1"/>
    <col min="4854" max="4854" width="0.7109375" style="1" customWidth="1"/>
    <col min="4855" max="4855" width="42.28515625" style="1" bestFit="1" customWidth="1"/>
    <col min="4856" max="4857" width="13.85546875" style="1" bestFit="1" customWidth="1"/>
    <col min="4858" max="4858" width="11.140625" style="1" bestFit="1" customWidth="1"/>
    <col min="4859" max="4859" width="13.85546875" style="1" bestFit="1" customWidth="1"/>
    <col min="4860" max="4860" width="3.7109375" style="1" bestFit="1" customWidth="1"/>
    <col min="4861" max="4861" width="7.5703125" style="1" bestFit="1" customWidth="1"/>
    <col min="4862" max="4862" width="16.7109375" style="1" bestFit="1" customWidth="1"/>
    <col min="4863" max="4864" width="12.28515625" style="1" bestFit="1" customWidth="1"/>
    <col min="4865" max="5109" width="11.42578125" style="1"/>
    <col min="5110" max="5110" width="0.7109375" style="1" customWidth="1"/>
    <col min="5111" max="5111" width="42.28515625" style="1" bestFit="1" customWidth="1"/>
    <col min="5112" max="5113" width="13.85546875" style="1" bestFit="1" customWidth="1"/>
    <col min="5114" max="5114" width="11.140625" style="1" bestFit="1" customWidth="1"/>
    <col min="5115" max="5115" width="13.85546875" style="1" bestFit="1" customWidth="1"/>
    <col min="5116" max="5116" width="3.7109375" style="1" bestFit="1" customWidth="1"/>
    <col min="5117" max="5117" width="7.5703125" style="1" bestFit="1" customWidth="1"/>
    <col min="5118" max="5118" width="16.7109375" style="1" bestFit="1" customWidth="1"/>
    <col min="5119" max="5120" width="12.28515625" style="1" bestFit="1" customWidth="1"/>
    <col min="5121" max="5365" width="11.42578125" style="1"/>
    <col min="5366" max="5366" width="0.7109375" style="1" customWidth="1"/>
    <col min="5367" max="5367" width="42.28515625" style="1" bestFit="1" customWidth="1"/>
    <col min="5368" max="5369" width="13.85546875" style="1" bestFit="1" customWidth="1"/>
    <col min="5370" max="5370" width="11.140625" style="1" bestFit="1" customWidth="1"/>
    <col min="5371" max="5371" width="13.85546875" style="1" bestFit="1" customWidth="1"/>
    <col min="5372" max="5372" width="3.7109375" style="1" bestFit="1" customWidth="1"/>
    <col min="5373" max="5373" width="7.5703125" style="1" bestFit="1" customWidth="1"/>
    <col min="5374" max="5374" width="16.7109375" style="1" bestFit="1" customWidth="1"/>
    <col min="5375" max="5376" width="12.28515625" style="1" bestFit="1" customWidth="1"/>
    <col min="5377" max="5621" width="11.42578125" style="1"/>
    <col min="5622" max="5622" width="0.7109375" style="1" customWidth="1"/>
    <col min="5623" max="5623" width="42.28515625" style="1" bestFit="1" customWidth="1"/>
    <col min="5624" max="5625" width="13.85546875" style="1" bestFit="1" customWidth="1"/>
    <col min="5626" max="5626" width="11.140625" style="1" bestFit="1" customWidth="1"/>
    <col min="5627" max="5627" width="13.85546875" style="1" bestFit="1" customWidth="1"/>
    <col min="5628" max="5628" width="3.7109375" style="1" bestFit="1" customWidth="1"/>
    <col min="5629" max="5629" width="7.5703125" style="1" bestFit="1" customWidth="1"/>
    <col min="5630" max="5630" width="16.7109375" style="1" bestFit="1" customWidth="1"/>
    <col min="5631" max="5632" width="12.28515625" style="1" bestFit="1" customWidth="1"/>
    <col min="5633" max="5877" width="11.42578125" style="1"/>
    <col min="5878" max="5878" width="0.7109375" style="1" customWidth="1"/>
    <col min="5879" max="5879" width="42.28515625" style="1" bestFit="1" customWidth="1"/>
    <col min="5880" max="5881" width="13.85546875" style="1" bestFit="1" customWidth="1"/>
    <col min="5882" max="5882" width="11.140625" style="1" bestFit="1" customWidth="1"/>
    <col min="5883" max="5883" width="13.85546875" style="1" bestFit="1" customWidth="1"/>
    <col min="5884" max="5884" width="3.7109375" style="1" bestFit="1" customWidth="1"/>
    <col min="5885" max="5885" width="7.5703125" style="1" bestFit="1" customWidth="1"/>
    <col min="5886" max="5886" width="16.7109375" style="1" bestFit="1" customWidth="1"/>
    <col min="5887" max="5888" width="12.28515625" style="1" bestFit="1" customWidth="1"/>
    <col min="5889" max="6133" width="11.42578125" style="1"/>
    <col min="6134" max="6134" width="0.7109375" style="1" customWidth="1"/>
    <col min="6135" max="6135" width="42.28515625" style="1" bestFit="1" customWidth="1"/>
    <col min="6136" max="6137" width="13.85546875" style="1" bestFit="1" customWidth="1"/>
    <col min="6138" max="6138" width="11.140625" style="1" bestFit="1" customWidth="1"/>
    <col min="6139" max="6139" width="13.85546875" style="1" bestFit="1" customWidth="1"/>
    <col min="6140" max="6140" width="3.7109375" style="1" bestFit="1" customWidth="1"/>
    <col min="6141" max="6141" width="7.5703125" style="1" bestFit="1" customWidth="1"/>
    <col min="6142" max="6142" width="16.7109375" style="1" bestFit="1" customWidth="1"/>
    <col min="6143" max="6144" width="12.28515625" style="1" bestFit="1" customWidth="1"/>
    <col min="6145" max="6389" width="11.42578125" style="1"/>
    <col min="6390" max="6390" width="0.7109375" style="1" customWidth="1"/>
    <col min="6391" max="6391" width="42.28515625" style="1" bestFit="1" customWidth="1"/>
    <col min="6392" max="6393" width="13.85546875" style="1" bestFit="1" customWidth="1"/>
    <col min="6394" max="6394" width="11.140625" style="1" bestFit="1" customWidth="1"/>
    <col min="6395" max="6395" width="13.85546875" style="1" bestFit="1" customWidth="1"/>
    <col min="6396" max="6396" width="3.7109375" style="1" bestFit="1" customWidth="1"/>
    <col min="6397" max="6397" width="7.5703125" style="1" bestFit="1" customWidth="1"/>
    <col min="6398" max="6398" width="16.7109375" style="1" bestFit="1" customWidth="1"/>
    <col min="6399" max="6400" width="12.28515625" style="1" bestFit="1" customWidth="1"/>
    <col min="6401" max="6645" width="11.42578125" style="1"/>
    <col min="6646" max="6646" width="0.7109375" style="1" customWidth="1"/>
    <col min="6647" max="6647" width="42.28515625" style="1" bestFit="1" customWidth="1"/>
    <col min="6648" max="6649" width="13.85546875" style="1" bestFit="1" customWidth="1"/>
    <col min="6650" max="6650" width="11.140625" style="1" bestFit="1" customWidth="1"/>
    <col min="6651" max="6651" width="13.85546875" style="1" bestFit="1" customWidth="1"/>
    <col min="6652" max="6652" width="3.7109375" style="1" bestFit="1" customWidth="1"/>
    <col min="6653" max="6653" width="7.5703125" style="1" bestFit="1" customWidth="1"/>
    <col min="6654" max="6654" width="16.7109375" style="1" bestFit="1" customWidth="1"/>
    <col min="6655" max="6656" width="12.28515625" style="1" bestFit="1" customWidth="1"/>
    <col min="6657" max="6901" width="11.42578125" style="1"/>
    <col min="6902" max="6902" width="0.7109375" style="1" customWidth="1"/>
    <col min="6903" max="6903" width="42.28515625" style="1" bestFit="1" customWidth="1"/>
    <col min="6904" max="6905" width="13.85546875" style="1" bestFit="1" customWidth="1"/>
    <col min="6906" max="6906" width="11.140625" style="1" bestFit="1" customWidth="1"/>
    <col min="6907" max="6907" width="13.85546875" style="1" bestFit="1" customWidth="1"/>
    <col min="6908" max="6908" width="3.7109375" style="1" bestFit="1" customWidth="1"/>
    <col min="6909" max="6909" width="7.5703125" style="1" bestFit="1" customWidth="1"/>
    <col min="6910" max="6910" width="16.7109375" style="1" bestFit="1" customWidth="1"/>
    <col min="6911" max="6912" width="12.28515625" style="1" bestFit="1" customWidth="1"/>
    <col min="6913" max="7157" width="11.42578125" style="1"/>
    <col min="7158" max="7158" width="0.7109375" style="1" customWidth="1"/>
    <col min="7159" max="7159" width="42.28515625" style="1" bestFit="1" customWidth="1"/>
    <col min="7160" max="7161" width="13.85546875" style="1" bestFit="1" customWidth="1"/>
    <col min="7162" max="7162" width="11.140625" style="1" bestFit="1" customWidth="1"/>
    <col min="7163" max="7163" width="13.85546875" style="1" bestFit="1" customWidth="1"/>
    <col min="7164" max="7164" width="3.7109375" style="1" bestFit="1" customWidth="1"/>
    <col min="7165" max="7165" width="7.5703125" style="1" bestFit="1" customWidth="1"/>
    <col min="7166" max="7166" width="16.7109375" style="1" bestFit="1" customWidth="1"/>
    <col min="7167" max="7168" width="12.28515625" style="1" bestFit="1" customWidth="1"/>
    <col min="7169" max="7413" width="11.42578125" style="1"/>
    <col min="7414" max="7414" width="0.7109375" style="1" customWidth="1"/>
    <col min="7415" max="7415" width="42.28515625" style="1" bestFit="1" customWidth="1"/>
    <col min="7416" max="7417" width="13.85546875" style="1" bestFit="1" customWidth="1"/>
    <col min="7418" max="7418" width="11.140625" style="1" bestFit="1" customWidth="1"/>
    <col min="7419" max="7419" width="13.85546875" style="1" bestFit="1" customWidth="1"/>
    <col min="7420" max="7420" width="3.7109375" style="1" bestFit="1" customWidth="1"/>
    <col min="7421" max="7421" width="7.5703125" style="1" bestFit="1" customWidth="1"/>
    <col min="7422" max="7422" width="16.7109375" style="1" bestFit="1" customWidth="1"/>
    <col min="7423" max="7424" width="12.28515625" style="1" bestFit="1" customWidth="1"/>
    <col min="7425" max="7669" width="11.42578125" style="1"/>
    <col min="7670" max="7670" width="0.7109375" style="1" customWidth="1"/>
    <col min="7671" max="7671" width="42.28515625" style="1" bestFit="1" customWidth="1"/>
    <col min="7672" max="7673" width="13.85546875" style="1" bestFit="1" customWidth="1"/>
    <col min="7674" max="7674" width="11.140625" style="1" bestFit="1" customWidth="1"/>
    <col min="7675" max="7675" width="13.85546875" style="1" bestFit="1" customWidth="1"/>
    <col min="7676" max="7676" width="3.7109375" style="1" bestFit="1" customWidth="1"/>
    <col min="7677" max="7677" width="7.5703125" style="1" bestFit="1" customWidth="1"/>
    <col min="7678" max="7678" width="16.7109375" style="1" bestFit="1" customWidth="1"/>
    <col min="7679" max="7680" width="12.28515625" style="1" bestFit="1" customWidth="1"/>
    <col min="7681" max="7925" width="11.42578125" style="1"/>
    <col min="7926" max="7926" width="0.7109375" style="1" customWidth="1"/>
    <col min="7927" max="7927" width="42.28515625" style="1" bestFit="1" customWidth="1"/>
    <col min="7928" max="7929" width="13.85546875" style="1" bestFit="1" customWidth="1"/>
    <col min="7930" max="7930" width="11.140625" style="1" bestFit="1" customWidth="1"/>
    <col min="7931" max="7931" width="13.85546875" style="1" bestFit="1" customWidth="1"/>
    <col min="7932" max="7932" width="3.7109375" style="1" bestFit="1" customWidth="1"/>
    <col min="7933" max="7933" width="7.5703125" style="1" bestFit="1" customWidth="1"/>
    <col min="7934" max="7934" width="16.7109375" style="1" bestFit="1" customWidth="1"/>
    <col min="7935" max="7936" width="12.28515625" style="1" bestFit="1" customWidth="1"/>
    <col min="7937" max="8181" width="11.42578125" style="1"/>
    <col min="8182" max="8182" width="0.7109375" style="1" customWidth="1"/>
    <col min="8183" max="8183" width="42.28515625" style="1" bestFit="1" customWidth="1"/>
    <col min="8184" max="8185" width="13.85546875" style="1" bestFit="1" customWidth="1"/>
    <col min="8186" max="8186" width="11.140625" style="1" bestFit="1" customWidth="1"/>
    <col min="8187" max="8187" width="13.85546875" style="1" bestFit="1" customWidth="1"/>
    <col min="8188" max="8188" width="3.7109375" style="1" bestFit="1" customWidth="1"/>
    <col min="8189" max="8189" width="7.5703125" style="1" bestFit="1" customWidth="1"/>
    <col min="8190" max="8190" width="16.7109375" style="1" bestFit="1" customWidth="1"/>
    <col min="8191" max="8192" width="12.28515625" style="1" bestFit="1" customWidth="1"/>
    <col min="8193" max="8437" width="11.42578125" style="1"/>
    <col min="8438" max="8438" width="0.7109375" style="1" customWidth="1"/>
    <col min="8439" max="8439" width="42.28515625" style="1" bestFit="1" customWidth="1"/>
    <col min="8440" max="8441" width="13.85546875" style="1" bestFit="1" customWidth="1"/>
    <col min="8442" max="8442" width="11.140625" style="1" bestFit="1" customWidth="1"/>
    <col min="8443" max="8443" width="13.85546875" style="1" bestFit="1" customWidth="1"/>
    <col min="8444" max="8444" width="3.7109375" style="1" bestFit="1" customWidth="1"/>
    <col min="8445" max="8445" width="7.5703125" style="1" bestFit="1" customWidth="1"/>
    <col min="8446" max="8446" width="16.7109375" style="1" bestFit="1" customWidth="1"/>
    <col min="8447" max="8448" width="12.28515625" style="1" bestFit="1" customWidth="1"/>
    <col min="8449" max="8693" width="11.42578125" style="1"/>
    <col min="8694" max="8694" width="0.7109375" style="1" customWidth="1"/>
    <col min="8695" max="8695" width="42.28515625" style="1" bestFit="1" customWidth="1"/>
    <col min="8696" max="8697" width="13.85546875" style="1" bestFit="1" customWidth="1"/>
    <col min="8698" max="8698" width="11.140625" style="1" bestFit="1" customWidth="1"/>
    <col min="8699" max="8699" width="13.85546875" style="1" bestFit="1" customWidth="1"/>
    <col min="8700" max="8700" width="3.7109375" style="1" bestFit="1" customWidth="1"/>
    <col min="8701" max="8701" width="7.5703125" style="1" bestFit="1" customWidth="1"/>
    <col min="8702" max="8702" width="16.7109375" style="1" bestFit="1" customWidth="1"/>
    <col min="8703" max="8704" width="12.28515625" style="1" bestFit="1" customWidth="1"/>
    <col min="8705" max="8949" width="11.42578125" style="1"/>
    <col min="8950" max="8950" width="0.7109375" style="1" customWidth="1"/>
    <col min="8951" max="8951" width="42.28515625" style="1" bestFit="1" customWidth="1"/>
    <col min="8952" max="8953" width="13.85546875" style="1" bestFit="1" customWidth="1"/>
    <col min="8954" max="8954" width="11.140625" style="1" bestFit="1" customWidth="1"/>
    <col min="8955" max="8955" width="13.85546875" style="1" bestFit="1" customWidth="1"/>
    <col min="8956" max="8956" width="3.7109375" style="1" bestFit="1" customWidth="1"/>
    <col min="8957" max="8957" width="7.5703125" style="1" bestFit="1" customWidth="1"/>
    <col min="8958" max="8958" width="16.7109375" style="1" bestFit="1" customWidth="1"/>
    <col min="8959" max="8960" width="12.28515625" style="1" bestFit="1" customWidth="1"/>
    <col min="8961" max="9205" width="11.42578125" style="1"/>
    <col min="9206" max="9206" width="0.7109375" style="1" customWidth="1"/>
    <col min="9207" max="9207" width="42.28515625" style="1" bestFit="1" customWidth="1"/>
    <col min="9208" max="9209" width="13.85546875" style="1" bestFit="1" customWidth="1"/>
    <col min="9210" max="9210" width="11.140625" style="1" bestFit="1" customWidth="1"/>
    <col min="9211" max="9211" width="13.85546875" style="1" bestFit="1" customWidth="1"/>
    <col min="9212" max="9212" width="3.7109375" style="1" bestFit="1" customWidth="1"/>
    <col min="9213" max="9213" width="7.5703125" style="1" bestFit="1" customWidth="1"/>
    <col min="9214" max="9214" width="16.7109375" style="1" bestFit="1" customWidth="1"/>
    <col min="9215" max="9216" width="12.28515625" style="1" bestFit="1" customWidth="1"/>
    <col min="9217" max="9461" width="11.42578125" style="1"/>
    <col min="9462" max="9462" width="0.7109375" style="1" customWidth="1"/>
    <col min="9463" max="9463" width="42.28515625" style="1" bestFit="1" customWidth="1"/>
    <col min="9464" max="9465" width="13.85546875" style="1" bestFit="1" customWidth="1"/>
    <col min="9466" max="9466" width="11.140625" style="1" bestFit="1" customWidth="1"/>
    <col min="9467" max="9467" width="13.85546875" style="1" bestFit="1" customWidth="1"/>
    <col min="9468" max="9468" width="3.7109375" style="1" bestFit="1" customWidth="1"/>
    <col min="9469" max="9469" width="7.5703125" style="1" bestFit="1" customWidth="1"/>
    <col min="9470" max="9470" width="16.7109375" style="1" bestFit="1" customWidth="1"/>
    <col min="9471" max="9472" width="12.28515625" style="1" bestFit="1" customWidth="1"/>
    <col min="9473" max="9717" width="11.42578125" style="1"/>
    <col min="9718" max="9718" width="0.7109375" style="1" customWidth="1"/>
    <col min="9719" max="9719" width="42.28515625" style="1" bestFit="1" customWidth="1"/>
    <col min="9720" max="9721" width="13.85546875" style="1" bestFit="1" customWidth="1"/>
    <col min="9722" max="9722" width="11.140625" style="1" bestFit="1" customWidth="1"/>
    <col min="9723" max="9723" width="13.85546875" style="1" bestFit="1" customWidth="1"/>
    <col min="9724" max="9724" width="3.7109375" style="1" bestFit="1" customWidth="1"/>
    <col min="9725" max="9725" width="7.5703125" style="1" bestFit="1" customWidth="1"/>
    <col min="9726" max="9726" width="16.7109375" style="1" bestFit="1" customWidth="1"/>
    <col min="9727" max="9728" width="12.28515625" style="1" bestFit="1" customWidth="1"/>
    <col min="9729" max="9973" width="11.42578125" style="1"/>
    <col min="9974" max="9974" width="0.7109375" style="1" customWidth="1"/>
    <col min="9975" max="9975" width="42.28515625" style="1" bestFit="1" customWidth="1"/>
    <col min="9976" max="9977" width="13.85546875" style="1" bestFit="1" customWidth="1"/>
    <col min="9978" max="9978" width="11.140625" style="1" bestFit="1" customWidth="1"/>
    <col min="9979" max="9979" width="13.85546875" style="1" bestFit="1" customWidth="1"/>
    <col min="9980" max="9980" width="3.7109375" style="1" bestFit="1" customWidth="1"/>
    <col min="9981" max="9981" width="7.5703125" style="1" bestFit="1" customWidth="1"/>
    <col min="9982" max="9982" width="16.7109375" style="1" bestFit="1" customWidth="1"/>
    <col min="9983" max="9984" width="12.28515625" style="1" bestFit="1" customWidth="1"/>
    <col min="9985" max="10229" width="11.42578125" style="1"/>
    <col min="10230" max="10230" width="0.7109375" style="1" customWidth="1"/>
    <col min="10231" max="10231" width="42.28515625" style="1" bestFit="1" customWidth="1"/>
    <col min="10232" max="10233" width="13.85546875" style="1" bestFit="1" customWidth="1"/>
    <col min="10234" max="10234" width="11.140625" style="1" bestFit="1" customWidth="1"/>
    <col min="10235" max="10235" width="13.85546875" style="1" bestFit="1" customWidth="1"/>
    <col min="10236" max="10236" width="3.7109375" style="1" bestFit="1" customWidth="1"/>
    <col min="10237" max="10237" width="7.5703125" style="1" bestFit="1" customWidth="1"/>
    <col min="10238" max="10238" width="16.7109375" style="1" bestFit="1" customWidth="1"/>
    <col min="10239" max="10240" width="12.28515625" style="1" bestFit="1" customWidth="1"/>
    <col min="10241" max="10485" width="11.42578125" style="1"/>
    <col min="10486" max="10486" width="0.7109375" style="1" customWidth="1"/>
    <col min="10487" max="10487" width="42.28515625" style="1" bestFit="1" customWidth="1"/>
    <col min="10488" max="10489" width="13.85546875" style="1" bestFit="1" customWidth="1"/>
    <col min="10490" max="10490" width="11.140625" style="1" bestFit="1" customWidth="1"/>
    <col min="10491" max="10491" width="13.85546875" style="1" bestFit="1" customWidth="1"/>
    <col min="10492" max="10492" width="3.7109375" style="1" bestFit="1" customWidth="1"/>
    <col min="10493" max="10493" width="7.5703125" style="1" bestFit="1" customWidth="1"/>
    <col min="10494" max="10494" width="16.7109375" style="1" bestFit="1" customWidth="1"/>
    <col min="10495" max="10496" width="12.28515625" style="1" bestFit="1" customWidth="1"/>
    <col min="10497" max="10741" width="11.42578125" style="1"/>
    <col min="10742" max="10742" width="0.7109375" style="1" customWidth="1"/>
    <col min="10743" max="10743" width="42.28515625" style="1" bestFit="1" customWidth="1"/>
    <col min="10744" max="10745" width="13.85546875" style="1" bestFit="1" customWidth="1"/>
    <col min="10746" max="10746" width="11.140625" style="1" bestFit="1" customWidth="1"/>
    <col min="10747" max="10747" width="13.85546875" style="1" bestFit="1" customWidth="1"/>
    <col min="10748" max="10748" width="3.7109375" style="1" bestFit="1" customWidth="1"/>
    <col min="10749" max="10749" width="7.5703125" style="1" bestFit="1" customWidth="1"/>
    <col min="10750" max="10750" width="16.7109375" style="1" bestFit="1" customWidth="1"/>
    <col min="10751" max="10752" width="12.28515625" style="1" bestFit="1" customWidth="1"/>
    <col min="10753" max="10997" width="11.42578125" style="1"/>
    <col min="10998" max="10998" width="0.7109375" style="1" customWidth="1"/>
    <col min="10999" max="10999" width="42.28515625" style="1" bestFit="1" customWidth="1"/>
    <col min="11000" max="11001" width="13.85546875" style="1" bestFit="1" customWidth="1"/>
    <col min="11002" max="11002" width="11.140625" style="1" bestFit="1" customWidth="1"/>
    <col min="11003" max="11003" width="13.85546875" style="1" bestFit="1" customWidth="1"/>
    <col min="11004" max="11004" width="3.7109375" style="1" bestFit="1" customWidth="1"/>
    <col min="11005" max="11005" width="7.5703125" style="1" bestFit="1" customWidth="1"/>
    <col min="11006" max="11006" width="16.7109375" style="1" bestFit="1" customWidth="1"/>
    <col min="11007" max="11008" width="12.28515625" style="1" bestFit="1" customWidth="1"/>
    <col min="11009" max="11253" width="11.42578125" style="1"/>
    <col min="11254" max="11254" width="0.7109375" style="1" customWidth="1"/>
    <col min="11255" max="11255" width="42.28515625" style="1" bestFit="1" customWidth="1"/>
    <col min="11256" max="11257" width="13.85546875" style="1" bestFit="1" customWidth="1"/>
    <col min="11258" max="11258" width="11.140625" style="1" bestFit="1" customWidth="1"/>
    <col min="11259" max="11259" width="13.85546875" style="1" bestFit="1" customWidth="1"/>
    <col min="11260" max="11260" width="3.7109375" style="1" bestFit="1" customWidth="1"/>
    <col min="11261" max="11261" width="7.5703125" style="1" bestFit="1" customWidth="1"/>
    <col min="11262" max="11262" width="16.7109375" style="1" bestFit="1" customWidth="1"/>
    <col min="11263" max="11264" width="12.28515625" style="1" bestFit="1" customWidth="1"/>
    <col min="11265" max="11509" width="11.42578125" style="1"/>
    <col min="11510" max="11510" width="0.7109375" style="1" customWidth="1"/>
    <col min="11511" max="11511" width="42.28515625" style="1" bestFit="1" customWidth="1"/>
    <col min="11512" max="11513" width="13.85546875" style="1" bestFit="1" customWidth="1"/>
    <col min="11514" max="11514" width="11.140625" style="1" bestFit="1" customWidth="1"/>
    <col min="11515" max="11515" width="13.85546875" style="1" bestFit="1" customWidth="1"/>
    <col min="11516" max="11516" width="3.7109375" style="1" bestFit="1" customWidth="1"/>
    <col min="11517" max="11517" width="7.5703125" style="1" bestFit="1" customWidth="1"/>
    <col min="11518" max="11518" width="16.7109375" style="1" bestFit="1" customWidth="1"/>
    <col min="11519" max="11520" width="12.28515625" style="1" bestFit="1" customWidth="1"/>
    <col min="11521" max="11765" width="11.42578125" style="1"/>
    <col min="11766" max="11766" width="0.7109375" style="1" customWidth="1"/>
    <col min="11767" max="11767" width="42.28515625" style="1" bestFit="1" customWidth="1"/>
    <col min="11768" max="11769" width="13.85546875" style="1" bestFit="1" customWidth="1"/>
    <col min="11770" max="11770" width="11.140625" style="1" bestFit="1" customWidth="1"/>
    <col min="11771" max="11771" width="13.85546875" style="1" bestFit="1" customWidth="1"/>
    <col min="11772" max="11772" width="3.7109375" style="1" bestFit="1" customWidth="1"/>
    <col min="11773" max="11773" width="7.5703125" style="1" bestFit="1" customWidth="1"/>
    <col min="11774" max="11774" width="16.7109375" style="1" bestFit="1" customWidth="1"/>
    <col min="11775" max="11776" width="12.28515625" style="1" bestFit="1" customWidth="1"/>
    <col min="11777" max="12021" width="11.42578125" style="1"/>
    <col min="12022" max="12022" width="0.7109375" style="1" customWidth="1"/>
    <col min="12023" max="12023" width="42.28515625" style="1" bestFit="1" customWidth="1"/>
    <col min="12024" max="12025" width="13.85546875" style="1" bestFit="1" customWidth="1"/>
    <col min="12026" max="12026" width="11.140625" style="1" bestFit="1" customWidth="1"/>
    <col min="12027" max="12027" width="13.85546875" style="1" bestFit="1" customWidth="1"/>
    <col min="12028" max="12028" width="3.7109375" style="1" bestFit="1" customWidth="1"/>
    <col min="12029" max="12029" width="7.5703125" style="1" bestFit="1" customWidth="1"/>
    <col min="12030" max="12030" width="16.7109375" style="1" bestFit="1" customWidth="1"/>
    <col min="12031" max="12032" width="12.28515625" style="1" bestFit="1" customWidth="1"/>
    <col min="12033" max="12277" width="11.42578125" style="1"/>
    <col min="12278" max="12278" width="0.7109375" style="1" customWidth="1"/>
    <col min="12279" max="12279" width="42.28515625" style="1" bestFit="1" customWidth="1"/>
    <col min="12280" max="12281" width="13.85546875" style="1" bestFit="1" customWidth="1"/>
    <col min="12282" max="12282" width="11.140625" style="1" bestFit="1" customWidth="1"/>
    <col min="12283" max="12283" width="13.85546875" style="1" bestFit="1" customWidth="1"/>
    <col min="12284" max="12284" width="3.7109375" style="1" bestFit="1" customWidth="1"/>
    <col min="12285" max="12285" width="7.5703125" style="1" bestFit="1" customWidth="1"/>
    <col min="12286" max="12286" width="16.7109375" style="1" bestFit="1" customWidth="1"/>
    <col min="12287" max="12288" width="12.28515625" style="1" bestFit="1" customWidth="1"/>
    <col min="12289" max="12533" width="11.42578125" style="1"/>
    <col min="12534" max="12534" width="0.7109375" style="1" customWidth="1"/>
    <col min="12535" max="12535" width="42.28515625" style="1" bestFit="1" customWidth="1"/>
    <col min="12536" max="12537" width="13.85546875" style="1" bestFit="1" customWidth="1"/>
    <col min="12538" max="12538" width="11.140625" style="1" bestFit="1" customWidth="1"/>
    <col min="12539" max="12539" width="13.85546875" style="1" bestFit="1" customWidth="1"/>
    <col min="12540" max="12540" width="3.7109375" style="1" bestFit="1" customWidth="1"/>
    <col min="12541" max="12541" width="7.5703125" style="1" bestFit="1" customWidth="1"/>
    <col min="12542" max="12542" width="16.7109375" style="1" bestFit="1" customWidth="1"/>
    <col min="12543" max="12544" width="12.28515625" style="1" bestFit="1" customWidth="1"/>
    <col min="12545" max="12789" width="11.42578125" style="1"/>
    <col min="12790" max="12790" width="0.7109375" style="1" customWidth="1"/>
    <col min="12791" max="12791" width="42.28515625" style="1" bestFit="1" customWidth="1"/>
    <col min="12792" max="12793" width="13.85546875" style="1" bestFit="1" customWidth="1"/>
    <col min="12794" max="12794" width="11.140625" style="1" bestFit="1" customWidth="1"/>
    <col min="12795" max="12795" width="13.85546875" style="1" bestFit="1" customWidth="1"/>
    <col min="12796" max="12796" width="3.7109375" style="1" bestFit="1" customWidth="1"/>
    <col min="12797" max="12797" width="7.5703125" style="1" bestFit="1" customWidth="1"/>
    <col min="12798" max="12798" width="16.7109375" style="1" bestFit="1" customWidth="1"/>
    <col min="12799" max="12800" width="12.28515625" style="1" bestFit="1" customWidth="1"/>
    <col min="12801" max="13045" width="11.42578125" style="1"/>
    <col min="13046" max="13046" width="0.7109375" style="1" customWidth="1"/>
    <col min="13047" max="13047" width="42.28515625" style="1" bestFit="1" customWidth="1"/>
    <col min="13048" max="13049" width="13.85546875" style="1" bestFit="1" customWidth="1"/>
    <col min="13050" max="13050" width="11.140625" style="1" bestFit="1" customWidth="1"/>
    <col min="13051" max="13051" width="13.85546875" style="1" bestFit="1" customWidth="1"/>
    <col min="13052" max="13052" width="3.7109375" style="1" bestFit="1" customWidth="1"/>
    <col min="13053" max="13053" width="7.5703125" style="1" bestFit="1" customWidth="1"/>
    <col min="13054" max="13054" width="16.7109375" style="1" bestFit="1" customWidth="1"/>
    <col min="13055" max="13056" width="12.28515625" style="1" bestFit="1" customWidth="1"/>
    <col min="13057" max="13301" width="11.42578125" style="1"/>
    <col min="13302" max="13302" width="0.7109375" style="1" customWidth="1"/>
    <col min="13303" max="13303" width="42.28515625" style="1" bestFit="1" customWidth="1"/>
    <col min="13304" max="13305" width="13.85546875" style="1" bestFit="1" customWidth="1"/>
    <col min="13306" max="13306" width="11.140625" style="1" bestFit="1" customWidth="1"/>
    <col min="13307" max="13307" width="13.85546875" style="1" bestFit="1" customWidth="1"/>
    <col min="13308" max="13308" width="3.7109375" style="1" bestFit="1" customWidth="1"/>
    <col min="13309" max="13309" width="7.5703125" style="1" bestFit="1" customWidth="1"/>
    <col min="13310" max="13310" width="16.7109375" style="1" bestFit="1" customWidth="1"/>
    <col min="13311" max="13312" width="12.28515625" style="1" bestFit="1" customWidth="1"/>
    <col min="13313" max="13557" width="11.42578125" style="1"/>
    <col min="13558" max="13558" width="0.7109375" style="1" customWidth="1"/>
    <col min="13559" max="13559" width="42.28515625" style="1" bestFit="1" customWidth="1"/>
    <col min="13560" max="13561" width="13.85546875" style="1" bestFit="1" customWidth="1"/>
    <col min="13562" max="13562" width="11.140625" style="1" bestFit="1" customWidth="1"/>
    <col min="13563" max="13563" width="13.85546875" style="1" bestFit="1" customWidth="1"/>
    <col min="13564" max="13564" width="3.7109375" style="1" bestFit="1" customWidth="1"/>
    <col min="13565" max="13565" width="7.5703125" style="1" bestFit="1" customWidth="1"/>
    <col min="13566" max="13566" width="16.7109375" style="1" bestFit="1" customWidth="1"/>
    <col min="13567" max="13568" width="12.28515625" style="1" bestFit="1" customWidth="1"/>
    <col min="13569" max="13813" width="11.42578125" style="1"/>
    <col min="13814" max="13814" width="0.7109375" style="1" customWidth="1"/>
    <col min="13815" max="13815" width="42.28515625" style="1" bestFit="1" customWidth="1"/>
    <col min="13816" max="13817" width="13.85546875" style="1" bestFit="1" customWidth="1"/>
    <col min="13818" max="13818" width="11.140625" style="1" bestFit="1" customWidth="1"/>
    <col min="13819" max="13819" width="13.85546875" style="1" bestFit="1" customWidth="1"/>
    <col min="13820" max="13820" width="3.7109375" style="1" bestFit="1" customWidth="1"/>
    <col min="13821" max="13821" width="7.5703125" style="1" bestFit="1" customWidth="1"/>
    <col min="13822" max="13822" width="16.7109375" style="1" bestFit="1" customWidth="1"/>
    <col min="13823" max="13824" width="12.28515625" style="1" bestFit="1" customWidth="1"/>
    <col min="13825" max="14069" width="11.42578125" style="1"/>
    <col min="14070" max="14070" width="0.7109375" style="1" customWidth="1"/>
    <col min="14071" max="14071" width="42.28515625" style="1" bestFit="1" customWidth="1"/>
    <col min="14072" max="14073" width="13.85546875" style="1" bestFit="1" customWidth="1"/>
    <col min="14074" max="14074" width="11.140625" style="1" bestFit="1" customWidth="1"/>
    <col min="14075" max="14075" width="13.85546875" style="1" bestFit="1" customWidth="1"/>
    <col min="14076" max="14076" width="3.7109375" style="1" bestFit="1" customWidth="1"/>
    <col min="14077" max="14077" width="7.5703125" style="1" bestFit="1" customWidth="1"/>
    <col min="14078" max="14078" width="16.7109375" style="1" bestFit="1" customWidth="1"/>
    <col min="14079" max="14080" width="12.28515625" style="1" bestFit="1" customWidth="1"/>
    <col min="14081" max="14325" width="11.42578125" style="1"/>
    <col min="14326" max="14326" width="0.7109375" style="1" customWidth="1"/>
    <col min="14327" max="14327" width="42.28515625" style="1" bestFit="1" customWidth="1"/>
    <col min="14328" max="14329" width="13.85546875" style="1" bestFit="1" customWidth="1"/>
    <col min="14330" max="14330" width="11.140625" style="1" bestFit="1" customWidth="1"/>
    <col min="14331" max="14331" width="13.85546875" style="1" bestFit="1" customWidth="1"/>
    <col min="14332" max="14332" width="3.7109375" style="1" bestFit="1" customWidth="1"/>
    <col min="14333" max="14333" width="7.5703125" style="1" bestFit="1" customWidth="1"/>
    <col min="14334" max="14334" width="16.7109375" style="1" bestFit="1" customWidth="1"/>
    <col min="14335" max="14336" width="12.28515625" style="1" bestFit="1" customWidth="1"/>
    <col min="14337" max="14581" width="11.42578125" style="1"/>
    <col min="14582" max="14582" width="0.7109375" style="1" customWidth="1"/>
    <col min="14583" max="14583" width="42.28515625" style="1" bestFit="1" customWidth="1"/>
    <col min="14584" max="14585" width="13.85546875" style="1" bestFit="1" customWidth="1"/>
    <col min="14586" max="14586" width="11.140625" style="1" bestFit="1" customWidth="1"/>
    <col min="14587" max="14587" width="13.85546875" style="1" bestFit="1" customWidth="1"/>
    <col min="14588" max="14588" width="3.7109375" style="1" bestFit="1" customWidth="1"/>
    <col min="14589" max="14589" width="7.5703125" style="1" bestFit="1" customWidth="1"/>
    <col min="14590" max="14590" width="16.7109375" style="1" bestFit="1" customWidth="1"/>
    <col min="14591" max="14592" width="12.28515625" style="1" bestFit="1" customWidth="1"/>
    <col min="14593" max="14837" width="11.42578125" style="1"/>
    <col min="14838" max="14838" width="0.7109375" style="1" customWidth="1"/>
    <col min="14839" max="14839" width="42.28515625" style="1" bestFit="1" customWidth="1"/>
    <col min="14840" max="14841" width="13.85546875" style="1" bestFit="1" customWidth="1"/>
    <col min="14842" max="14842" width="11.140625" style="1" bestFit="1" customWidth="1"/>
    <col min="14843" max="14843" width="13.85546875" style="1" bestFit="1" customWidth="1"/>
    <col min="14844" max="14844" width="3.7109375" style="1" bestFit="1" customWidth="1"/>
    <col min="14845" max="14845" width="7.5703125" style="1" bestFit="1" customWidth="1"/>
    <col min="14846" max="14846" width="16.7109375" style="1" bestFit="1" customWidth="1"/>
    <col min="14847" max="14848" width="12.28515625" style="1" bestFit="1" customWidth="1"/>
    <col min="14849" max="15093" width="11.42578125" style="1"/>
    <col min="15094" max="15094" width="0.7109375" style="1" customWidth="1"/>
    <col min="15095" max="15095" width="42.28515625" style="1" bestFit="1" customWidth="1"/>
    <col min="15096" max="15097" width="13.85546875" style="1" bestFit="1" customWidth="1"/>
    <col min="15098" max="15098" width="11.140625" style="1" bestFit="1" customWidth="1"/>
    <col min="15099" max="15099" width="13.85546875" style="1" bestFit="1" customWidth="1"/>
    <col min="15100" max="15100" width="3.7109375" style="1" bestFit="1" customWidth="1"/>
    <col min="15101" max="15101" width="7.5703125" style="1" bestFit="1" customWidth="1"/>
    <col min="15102" max="15102" width="16.7109375" style="1" bestFit="1" customWidth="1"/>
    <col min="15103" max="15104" width="12.28515625" style="1" bestFit="1" customWidth="1"/>
    <col min="15105" max="15349" width="11.42578125" style="1"/>
    <col min="15350" max="15350" width="0.7109375" style="1" customWidth="1"/>
    <col min="15351" max="15351" width="42.28515625" style="1" bestFit="1" customWidth="1"/>
    <col min="15352" max="15353" width="13.85546875" style="1" bestFit="1" customWidth="1"/>
    <col min="15354" max="15354" width="11.140625" style="1" bestFit="1" customWidth="1"/>
    <col min="15355" max="15355" width="13.85546875" style="1" bestFit="1" customWidth="1"/>
    <col min="15356" max="15356" width="3.7109375" style="1" bestFit="1" customWidth="1"/>
    <col min="15357" max="15357" width="7.5703125" style="1" bestFit="1" customWidth="1"/>
    <col min="15358" max="15358" width="16.7109375" style="1" bestFit="1" customWidth="1"/>
    <col min="15359" max="15360" width="12.28515625" style="1" bestFit="1" customWidth="1"/>
    <col min="15361" max="15605" width="11.42578125" style="1"/>
    <col min="15606" max="15606" width="0.7109375" style="1" customWidth="1"/>
    <col min="15607" max="15607" width="42.28515625" style="1" bestFit="1" customWidth="1"/>
    <col min="15608" max="15609" width="13.85546875" style="1" bestFit="1" customWidth="1"/>
    <col min="15610" max="15610" width="11.140625" style="1" bestFit="1" customWidth="1"/>
    <col min="15611" max="15611" width="13.85546875" style="1" bestFit="1" customWidth="1"/>
    <col min="15612" max="15612" width="3.7109375" style="1" bestFit="1" customWidth="1"/>
    <col min="15613" max="15613" width="7.5703125" style="1" bestFit="1" customWidth="1"/>
    <col min="15614" max="15614" width="16.7109375" style="1" bestFit="1" customWidth="1"/>
    <col min="15615" max="15616" width="12.28515625" style="1" bestFit="1" customWidth="1"/>
    <col min="15617" max="15861" width="11.42578125" style="1"/>
    <col min="15862" max="15862" width="0.7109375" style="1" customWidth="1"/>
    <col min="15863" max="15863" width="42.28515625" style="1" bestFit="1" customWidth="1"/>
    <col min="15864" max="15865" width="13.85546875" style="1" bestFit="1" customWidth="1"/>
    <col min="15866" max="15866" width="11.140625" style="1" bestFit="1" customWidth="1"/>
    <col min="15867" max="15867" width="13.85546875" style="1" bestFit="1" customWidth="1"/>
    <col min="15868" max="15868" width="3.7109375" style="1" bestFit="1" customWidth="1"/>
    <col min="15869" max="15869" width="7.5703125" style="1" bestFit="1" customWidth="1"/>
    <col min="15870" max="15870" width="16.7109375" style="1" bestFit="1" customWidth="1"/>
    <col min="15871" max="15872" width="12.28515625" style="1" bestFit="1" customWidth="1"/>
    <col min="15873" max="16117" width="11.42578125" style="1"/>
    <col min="16118" max="16118" width="0.7109375" style="1" customWidth="1"/>
    <col min="16119" max="16119" width="42.28515625" style="1" bestFit="1" customWidth="1"/>
    <col min="16120" max="16121" width="13.85546875" style="1" bestFit="1" customWidth="1"/>
    <col min="16122" max="16122" width="11.140625" style="1" bestFit="1" customWidth="1"/>
    <col min="16123" max="16123" width="13.85546875" style="1" bestFit="1" customWidth="1"/>
    <col min="16124" max="16124" width="3.7109375" style="1" bestFit="1" customWidth="1"/>
    <col min="16125" max="16125" width="7.5703125" style="1" bestFit="1" customWidth="1"/>
    <col min="16126" max="16126" width="16.7109375" style="1" bestFit="1" customWidth="1"/>
    <col min="16127" max="16128" width="12.28515625" style="1" bestFit="1" customWidth="1"/>
    <col min="16129" max="16358" width="11.42578125" style="1"/>
    <col min="16359" max="16382" width="11.42578125" style="1" customWidth="1"/>
    <col min="16383" max="16384" width="11.42578125" style="1"/>
  </cols>
  <sheetData>
    <row r="2" spans="2:29" x14ac:dyDescent="0.25">
      <c r="B2" s="366" t="s">
        <v>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</row>
    <row r="3" spans="2:29" x14ac:dyDescent="0.25">
      <c r="B3" s="366" t="s">
        <v>1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</row>
    <row r="4" spans="2:29" x14ac:dyDescent="0.25">
      <c r="B4" s="366" t="s">
        <v>2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X4" s="358"/>
    </row>
    <row r="5" spans="2:29" x14ac:dyDescent="0.25">
      <c r="B5" s="367" t="s">
        <v>89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X5" s="358"/>
    </row>
    <row r="6" spans="2:29" ht="16.5" thickBot="1" x14ac:dyDescent="0.3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X6" s="358"/>
      <c r="Z6" s="15"/>
    </row>
    <row r="7" spans="2:29" x14ac:dyDescent="0.25">
      <c r="B7" s="360" t="s">
        <v>3</v>
      </c>
      <c r="C7" s="235" t="s">
        <v>90</v>
      </c>
      <c r="D7" s="236" t="s">
        <v>91</v>
      </c>
      <c r="E7" s="237" t="s">
        <v>92</v>
      </c>
      <c r="F7" s="237" t="s">
        <v>93</v>
      </c>
      <c r="G7" s="237" t="s">
        <v>94</v>
      </c>
      <c r="H7" s="237" t="s">
        <v>54</v>
      </c>
      <c r="I7" s="237" t="s">
        <v>51</v>
      </c>
      <c r="J7" s="237" t="s">
        <v>55</v>
      </c>
      <c r="K7" s="238" t="s">
        <v>52</v>
      </c>
      <c r="L7" s="238" t="s">
        <v>95</v>
      </c>
      <c r="M7" s="238" t="s">
        <v>95</v>
      </c>
      <c r="N7" s="239" t="s">
        <v>96</v>
      </c>
      <c r="P7" s="239" t="s">
        <v>97</v>
      </c>
      <c r="Q7" s="238" t="s">
        <v>98</v>
      </c>
      <c r="R7" s="238" t="s">
        <v>99</v>
      </c>
      <c r="S7" s="238" t="s">
        <v>100</v>
      </c>
      <c r="T7" s="239" t="s">
        <v>56</v>
      </c>
      <c r="U7" s="239" t="s">
        <v>53</v>
      </c>
      <c r="V7" s="239" t="s">
        <v>101</v>
      </c>
    </row>
    <row r="8" spans="2:29" ht="15.6" customHeight="1" thickBot="1" x14ac:dyDescent="0.3">
      <c r="B8" s="361"/>
      <c r="C8" s="240" t="s">
        <v>102</v>
      </c>
      <c r="D8" s="241" t="s">
        <v>103</v>
      </c>
      <c r="E8" s="242" t="s">
        <v>104</v>
      </c>
      <c r="F8" s="242" t="s">
        <v>104</v>
      </c>
      <c r="G8" s="242" t="s">
        <v>105</v>
      </c>
      <c r="H8" s="242" t="s">
        <v>104</v>
      </c>
      <c r="I8" s="242" t="s">
        <v>105</v>
      </c>
      <c r="J8" s="242" t="s">
        <v>104</v>
      </c>
      <c r="K8" s="242" t="s">
        <v>104</v>
      </c>
      <c r="L8" s="243" t="s">
        <v>106</v>
      </c>
      <c r="M8" s="243" t="s">
        <v>122</v>
      </c>
      <c r="N8" s="244" t="s">
        <v>108</v>
      </c>
      <c r="P8" s="244" t="s">
        <v>53</v>
      </c>
      <c r="Q8" s="325" t="s">
        <v>53</v>
      </c>
      <c r="R8" s="325" t="s">
        <v>53</v>
      </c>
      <c r="S8" s="326" t="s">
        <v>53</v>
      </c>
      <c r="T8" s="244" t="s">
        <v>109</v>
      </c>
      <c r="U8" s="244" t="s">
        <v>108</v>
      </c>
      <c r="V8" s="244" t="s">
        <v>110</v>
      </c>
      <c r="X8" s="358"/>
    </row>
    <row r="9" spans="2:29" x14ac:dyDescent="0.25">
      <c r="B9" s="18" t="s">
        <v>7</v>
      </c>
      <c r="C9" s="245">
        <f>SUM(C10:C13)</f>
        <v>10672638758.052338</v>
      </c>
      <c r="D9" s="246">
        <f t="shared" ref="D9:K9" si="0">SUM(D10:D13)</f>
        <v>814112424</v>
      </c>
      <c r="E9" s="247">
        <f t="shared" si="0"/>
        <v>0</v>
      </c>
      <c r="F9" s="248">
        <f t="shared" si="0"/>
        <v>10000000</v>
      </c>
      <c r="G9" s="248">
        <f t="shared" si="0"/>
        <v>0</v>
      </c>
      <c r="H9" s="248">
        <f t="shared" si="0"/>
        <v>0</v>
      </c>
      <c r="I9" s="248">
        <f t="shared" si="0"/>
        <v>0</v>
      </c>
      <c r="J9" s="248">
        <f t="shared" si="0"/>
        <v>157259579</v>
      </c>
      <c r="K9" s="248">
        <f t="shared" si="0"/>
        <v>38690000</v>
      </c>
      <c r="L9" s="249"/>
      <c r="M9" s="250"/>
      <c r="N9" s="251">
        <f>SUM(N10:N13)</f>
        <v>11692700761.052338</v>
      </c>
      <c r="P9" s="327">
        <f t="shared" ref="P9:T9" si="1">SUM(P10:P13)</f>
        <v>1470111817</v>
      </c>
      <c r="Q9" s="328">
        <f t="shared" si="1"/>
        <v>1216494985</v>
      </c>
      <c r="R9" s="328">
        <f t="shared" si="1"/>
        <v>1260817268</v>
      </c>
      <c r="S9" s="329">
        <f>SUM(S10:S13)</f>
        <v>1492381676.25</v>
      </c>
      <c r="T9" s="327">
        <f t="shared" si="1"/>
        <v>5656257266.8000002</v>
      </c>
      <c r="U9" s="251">
        <f>SUM(U10:U13)</f>
        <v>11096063013.049999</v>
      </c>
      <c r="V9" s="330">
        <f>SUM(V10:V13)</f>
        <v>596637748.00233746</v>
      </c>
      <c r="X9" s="358"/>
      <c r="Y9" s="130"/>
      <c r="AB9" s="131"/>
      <c r="AC9" s="130"/>
    </row>
    <row r="10" spans="2:29" x14ac:dyDescent="0.25">
      <c r="B10" s="3" t="s">
        <v>8</v>
      </c>
      <c r="C10" s="252">
        <v>5533809852</v>
      </c>
      <c r="D10" s="253"/>
      <c r="E10" s="254">
        <v>0</v>
      </c>
      <c r="F10" s="255"/>
      <c r="G10" s="255"/>
      <c r="H10" s="255"/>
      <c r="I10" s="255"/>
      <c r="J10" s="255"/>
      <c r="K10" s="255"/>
      <c r="L10" s="254"/>
      <c r="M10" s="256"/>
      <c r="N10" s="257">
        <f>SUM(C10:M10)</f>
        <v>5533809852</v>
      </c>
      <c r="P10" s="257">
        <v>1352655201</v>
      </c>
      <c r="Q10" s="331">
        <v>1183029752</v>
      </c>
      <c r="R10" s="332">
        <v>1237846824</v>
      </c>
      <c r="S10" s="333">
        <f>1156468611+11</f>
        <v>1156468622</v>
      </c>
      <c r="T10" s="257"/>
      <c r="U10" s="257">
        <f>SUM(P10:T10)</f>
        <v>4930000399</v>
      </c>
      <c r="V10" s="333">
        <f>+N10-U10</f>
        <v>603809453</v>
      </c>
      <c r="Y10" s="130"/>
      <c r="Z10" s="130"/>
      <c r="AB10" s="131"/>
      <c r="AC10" s="130"/>
    </row>
    <row r="11" spans="2:29" x14ac:dyDescent="0.25">
      <c r="B11" s="3" t="s">
        <v>49</v>
      </c>
      <c r="C11" s="252">
        <v>113390147</v>
      </c>
      <c r="D11" s="253"/>
      <c r="E11" s="254">
        <v>0</v>
      </c>
      <c r="F11" s="255"/>
      <c r="G11" s="255"/>
      <c r="H11" s="255"/>
      <c r="I11" s="255"/>
      <c r="J11" s="255">
        <v>89259579</v>
      </c>
      <c r="K11" s="255">
        <v>24510000</v>
      </c>
      <c r="L11" s="254"/>
      <c r="M11" s="256"/>
      <c r="N11" s="257">
        <f t="shared" ref="N11:N13" si="2">SUM(C11:M11)</f>
        <v>227159726</v>
      </c>
      <c r="P11" s="269">
        <v>82600649</v>
      </c>
      <c r="Q11" s="331">
        <v>19365985</v>
      </c>
      <c r="R11" s="332">
        <v>10873371</v>
      </c>
      <c r="S11" s="334">
        <v>110764764</v>
      </c>
      <c r="T11" s="269"/>
      <c r="U11" s="257">
        <f t="shared" ref="U11:U13" si="3">SUM(P11:T11)</f>
        <v>223604769</v>
      </c>
      <c r="V11" s="333">
        <f>+N11-U11</f>
        <v>3554957</v>
      </c>
      <c r="X11" s="105"/>
      <c r="Y11" s="130"/>
      <c r="Z11" s="130"/>
      <c r="AB11" s="131"/>
      <c r="AC11" s="130"/>
    </row>
    <row r="12" spans="2:29" x14ac:dyDescent="0.25">
      <c r="B12" s="3" t="s">
        <v>9</v>
      </c>
      <c r="C12" s="258">
        <v>50000000</v>
      </c>
      <c r="D12" s="259"/>
      <c r="E12" s="260">
        <v>0</v>
      </c>
      <c r="F12" s="261">
        <v>10000000</v>
      </c>
      <c r="G12" s="261"/>
      <c r="H12" s="261"/>
      <c r="I12" s="261"/>
      <c r="J12" s="261">
        <v>68000000</v>
      </c>
      <c r="K12" s="261">
        <v>14180000</v>
      </c>
      <c r="L12" s="260"/>
      <c r="M12" s="262"/>
      <c r="N12" s="257">
        <f t="shared" si="2"/>
        <v>142180000</v>
      </c>
      <c r="P12" s="257">
        <v>34855967</v>
      </c>
      <c r="Q12" s="331">
        <v>14099248</v>
      </c>
      <c r="R12" s="332">
        <v>12097073</v>
      </c>
      <c r="S12" s="334">
        <v>91854374</v>
      </c>
      <c r="T12" s="269">
        <v>0</v>
      </c>
      <c r="U12" s="257">
        <f t="shared" si="3"/>
        <v>152906662</v>
      </c>
      <c r="V12" s="333">
        <f>+N12-U12</f>
        <v>-10726662</v>
      </c>
      <c r="Y12" s="130"/>
      <c r="Z12" s="130"/>
      <c r="AB12" s="131"/>
      <c r="AC12" s="130"/>
    </row>
    <row r="13" spans="2:29" x14ac:dyDescent="0.25">
      <c r="B13" s="3" t="s">
        <v>10</v>
      </c>
      <c r="C13" s="258">
        <v>4975438759.0523376</v>
      </c>
      <c r="D13" s="259">
        <v>814112424</v>
      </c>
      <c r="E13" s="260">
        <v>0</v>
      </c>
      <c r="F13" s="261"/>
      <c r="G13" s="261"/>
      <c r="H13" s="261"/>
      <c r="I13" s="261"/>
      <c r="J13" s="261"/>
      <c r="K13" s="261"/>
      <c r="L13" s="260"/>
      <c r="M13" s="262"/>
      <c r="N13" s="257">
        <f t="shared" si="2"/>
        <v>5789551183.0523376</v>
      </c>
      <c r="P13" s="257">
        <v>0</v>
      </c>
      <c r="Q13" s="331"/>
      <c r="R13" s="332"/>
      <c r="S13" s="334">
        <v>133293916.25</v>
      </c>
      <c r="T13" s="269">
        <v>5656257266.8000002</v>
      </c>
      <c r="U13" s="257">
        <f t="shared" si="3"/>
        <v>5789551183.0500002</v>
      </c>
      <c r="V13" s="333">
        <f>+N13-U13</f>
        <v>2.3374557495117188E-3</v>
      </c>
      <c r="Y13" s="130"/>
      <c r="Z13" s="130"/>
      <c r="AB13" s="131"/>
      <c r="AC13" s="130"/>
    </row>
    <row r="14" spans="2:29" x14ac:dyDescent="0.25">
      <c r="B14" s="2" t="s">
        <v>11</v>
      </c>
      <c r="C14" s="263">
        <f>+SUM(C15:C16)</f>
        <v>75578375</v>
      </c>
      <c r="D14" s="264">
        <f t="shared" ref="D14:J14" si="4">+SUM(D15:D16)</f>
        <v>0</v>
      </c>
      <c r="E14" s="265">
        <f t="shared" si="4"/>
        <v>0</v>
      </c>
      <c r="F14" s="266">
        <f t="shared" si="4"/>
        <v>180000000</v>
      </c>
      <c r="G14" s="266">
        <f t="shared" si="4"/>
        <v>0</v>
      </c>
      <c r="H14" s="266">
        <f t="shared" si="4"/>
        <v>0</v>
      </c>
      <c r="I14" s="266">
        <f t="shared" ref="I14" si="5">+SUM(I15:I16)</f>
        <v>0</v>
      </c>
      <c r="J14" s="266">
        <f t="shared" si="4"/>
        <v>0</v>
      </c>
      <c r="K14" s="266">
        <f t="shared" ref="K14" si="6">+SUM(K15:K16)</f>
        <v>6643000</v>
      </c>
      <c r="L14" s="265"/>
      <c r="M14" s="267"/>
      <c r="N14" s="268">
        <f>+SUM(N15:N16)</f>
        <v>262221375</v>
      </c>
      <c r="P14" s="268">
        <f t="shared" ref="P14:T14" si="7">+SUM(P15:P16)</f>
        <v>64134552</v>
      </c>
      <c r="Q14" s="335">
        <f t="shared" si="7"/>
        <v>66143174</v>
      </c>
      <c r="R14" s="335">
        <f t="shared" si="7"/>
        <v>50099449</v>
      </c>
      <c r="S14" s="336">
        <f t="shared" si="7"/>
        <v>41894307</v>
      </c>
      <c r="T14" s="268">
        <f t="shared" si="7"/>
        <v>0</v>
      </c>
      <c r="U14" s="268">
        <f>+SUM(U15:U16)</f>
        <v>222271482</v>
      </c>
      <c r="V14" s="337">
        <f>+SUM(V15:V16)</f>
        <v>39949893</v>
      </c>
      <c r="Y14" s="130"/>
      <c r="Z14" s="130"/>
      <c r="AB14" s="131"/>
      <c r="AC14" s="130"/>
    </row>
    <row r="15" spans="2:29" x14ac:dyDescent="0.25">
      <c r="B15" s="3" t="s">
        <v>12</v>
      </c>
      <c r="C15" s="252">
        <v>3000000</v>
      </c>
      <c r="D15" s="253"/>
      <c r="E15" s="254"/>
      <c r="F15" s="255">
        <v>0</v>
      </c>
      <c r="G15" s="255"/>
      <c r="H15" s="255"/>
      <c r="I15" s="255"/>
      <c r="J15" s="255"/>
      <c r="K15" s="255">
        <v>6643000</v>
      </c>
      <c r="L15" s="254"/>
      <c r="M15" s="256"/>
      <c r="N15" s="269">
        <f t="shared" ref="N15:N16" si="8">SUM(C15:M15)</f>
        <v>9643000</v>
      </c>
      <c r="P15" s="269">
        <v>799181</v>
      </c>
      <c r="Q15" s="331">
        <v>543539</v>
      </c>
      <c r="R15" s="331">
        <v>751980</v>
      </c>
      <c r="S15" s="334">
        <v>8695703</v>
      </c>
      <c r="T15" s="269" t="s">
        <v>111</v>
      </c>
      <c r="U15" s="257">
        <f t="shared" ref="U15:U16" si="9">SUM(P15:T15)</f>
        <v>10790403</v>
      </c>
      <c r="V15" s="333">
        <f>+N15-U15</f>
        <v>-1147403</v>
      </c>
      <c r="Y15" s="130"/>
      <c r="Z15" s="130"/>
      <c r="AB15" s="131"/>
      <c r="AC15" s="130"/>
    </row>
    <row r="16" spans="2:29" x14ac:dyDescent="0.25">
      <c r="B16" s="3" t="s">
        <v>13</v>
      </c>
      <c r="C16" s="252">
        <v>72578375</v>
      </c>
      <c r="D16" s="253"/>
      <c r="E16" s="254"/>
      <c r="F16" s="255">
        <v>180000000</v>
      </c>
      <c r="G16" s="255"/>
      <c r="H16" s="255"/>
      <c r="I16" s="255"/>
      <c r="J16" s="255"/>
      <c r="K16" s="255"/>
      <c r="L16" s="254"/>
      <c r="M16" s="256"/>
      <c r="N16" s="269">
        <f t="shared" si="8"/>
        <v>252578375</v>
      </c>
      <c r="P16" s="269">
        <v>63335371</v>
      </c>
      <c r="Q16" s="331">
        <v>65599635</v>
      </c>
      <c r="R16" s="331">
        <v>49347469</v>
      </c>
      <c r="S16" s="334">
        <v>33198604</v>
      </c>
      <c r="T16" s="269"/>
      <c r="U16" s="257">
        <f t="shared" si="9"/>
        <v>211481079</v>
      </c>
      <c r="V16" s="333">
        <f>+N16-U16</f>
        <v>41097296</v>
      </c>
      <c r="Y16" s="130"/>
      <c r="Z16" s="130"/>
      <c r="AB16" s="131"/>
      <c r="AC16" s="130"/>
    </row>
    <row r="17" spans="2:29" x14ac:dyDescent="0.25">
      <c r="B17" s="2" t="s">
        <v>14</v>
      </c>
      <c r="C17" s="263">
        <f>SUM(C9+C14)</f>
        <v>10748217133.052338</v>
      </c>
      <c r="D17" s="264">
        <f t="shared" ref="D17:M17" si="10">SUM(D9+D14)</f>
        <v>814112424</v>
      </c>
      <c r="E17" s="265">
        <f t="shared" si="10"/>
        <v>0</v>
      </c>
      <c r="F17" s="266">
        <f t="shared" si="10"/>
        <v>190000000</v>
      </c>
      <c r="G17" s="266">
        <f t="shared" si="10"/>
        <v>0</v>
      </c>
      <c r="H17" s="266">
        <f t="shared" si="10"/>
        <v>0</v>
      </c>
      <c r="I17" s="266">
        <f t="shared" si="10"/>
        <v>0</v>
      </c>
      <c r="J17" s="266">
        <f t="shared" si="10"/>
        <v>157259579</v>
      </c>
      <c r="K17" s="266">
        <f t="shared" si="10"/>
        <v>45333000</v>
      </c>
      <c r="L17" s="265">
        <f t="shared" si="10"/>
        <v>0</v>
      </c>
      <c r="M17" s="266">
        <f t="shared" si="10"/>
        <v>0</v>
      </c>
      <c r="N17" s="268">
        <f>SUM(N9+N14)</f>
        <v>11954922136.052338</v>
      </c>
      <c r="P17" s="268">
        <f t="shared" ref="P17:T17" si="11">SUM(P9+P14)</f>
        <v>1534246369</v>
      </c>
      <c r="Q17" s="335">
        <f t="shared" si="11"/>
        <v>1282638159</v>
      </c>
      <c r="R17" s="335">
        <f t="shared" si="11"/>
        <v>1310916717</v>
      </c>
      <c r="S17" s="336">
        <f t="shared" si="11"/>
        <v>1534275983.25</v>
      </c>
      <c r="T17" s="268">
        <f t="shared" si="11"/>
        <v>5656257266.8000002</v>
      </c>
      <c r="U17" s="268">
        <f>SUM(U9+U14)</f>
        <v>11318334495.049999</v>
      </c>
      <c r="V17" s="337">
        <f>SUM(V9+V14)</f>
        <v>636587641.00233746</v>
      </c>
      <c r="Y17" s="130"/>
      <c r="AB17" s="131"/>
      <c r="AC17" s="130"/>
    </row>
    <row r="18" spans="2:29" x14ac:dyDescent="0.25">
      <c r="B18" s="4" t="s">
        <v>15</v>
      </c>
      <c r="C18" s="263"/>
      <c r="D18" s="264"/>
      <c r="E18" s="265"/>
      <c r="F18" s="266"/>
      <c r="G18" s="266"/>
      <c r="H18" s="266"/>
      <c r="I18" s="266"/>
      <c r="J18" s="266"/>
      <c r="K18" s="266"/>
      <c r="L18" s="265"/>
      <c r="M18" s="266"/>
      <c r="N18" s="268"/>
      <c r="P18" s="268"/>
      <c r="Q18" s="335"/>
      <c r="R18" s="335"/>
      <c r="S18" s="336"/>
      <c r="T18" s="268"/>
      <c r="U18" s="268"/>
      <c r="V18" s="337"/>
      <c r="Y18" s="130"/>
      <c r="AB18" s="131"/>
      <c r="AC18" s="130"/>
    </row>
    <row r="19" spans="2:29" x14ac:dyDescent="0.25">
      <c r="B19" s="5" t="s">
        <v>16</v>
      </c>
      <c r="C19" s="263">
        <f>+C20+C32</f>
        <v>1039987526</v>
      </c>
      <c r="D19" s="264">
        <f t="shared" ref="D19:M19" si="12">+D20+D32</f>
        <v>0</v>
      </c>
      <c r="E19" s="265">
        <f t="shared" si="12"/>
        <v>13040863.488</v>
      </c>
      <c r="F19" s="266">
        <f t="shared" si="12"/>
        <v>9702500</v>
      </c>
      <c r="G19" s="266">
        <f t="shared" si="12"/>
        <v>0</v>
      </c>
      <c r="H19" s="266">
        <f t="shared" si="12"/>
        <v>0</v>
      </c>
      <c r="I19" s="266">
        <f t="shared" si="12"/>
        <v>-142194935</v>
      </c>
      <c r="J19" s="266">
        <f t="shared" si="12"/>
        <v>0</v>
      </c>
      <c r="K19" s="266">
        <f t="shared" si="12"/>
        <v>0</v>
      </c>
      <c r="L19" s="265">
        <f t="shared" si="12"/>
        <v>0</v>
      </c>
      <c r="M19" s="266">
        <f t="shared" si="12"/>
        <v>0</v>
      </c>
      <c r="N19" s="268">
        <f>+N20+N32</f>
        <v>920535954.48799992</v>
      </c>
      <c r="P19" s="268">
        <f t="shared" ref="P19:T19" si="13">+P20+P32</f>
        <v>220440845</v>
      </c>
      <c r="Q19" s="335">
        <f t="shared" si="13"/>
        <v>189396541</v>
      </c>
      <c r="R19" s="335">
        <f t="shared" si="13"/>
        <v>194028165</v>
      </c>
      <c r="S19" s="336">
        <f t="shared" si="13"/>
        <v>239158378</v>
      </c>
      <c r="T19" s="268">
        <f t="shared" si="13"/>
        <v>0</v>
      </c>
      <c r="U19" s="268">
        <f>+U20+U32</f>
        <v>843023929</v>
      </c>
      <c r="V19" s="337">
        <f>+V20+V32</f>
        <v>77512025.488000005</v>
      </c>
      <c r="Y19" s="130"/>
      <c r="AB19" s="131"/>
      <c r="AC19" s="130"/>
    </row>
    <row r="20" spans="2:29" x14ac:dyDescent="0.25">
      <c r="B20" s="6" t="s">
        <v>17</v>
      </c>
      <c r="C20" s="263">
        <f>SUM(C21:C31)</f>
        <v>662663636</v>
      </c>
      <c r="D20" s="264">
        <f t="shared" ref="D20:K20" si="14">SUM(D21:D31)</f>
        <v>0</v>
      </c>
      <c r="E20" s="265">
        <f t="shared" si="14"/>
        <v>2741678.4879999994</v>
      </c>
      <c r="F20" s="266">
        <f t="shared" si="14"/>
        <v>0</v>
      </c>
      <c r="G20" s="266">
        <f t="shared" si="14"/>
        <v>0</v>
      </c>
      <c r="H20" s="266">
        <f t="shared" si="14"/>
        <v>0</v>
      </c>
      <c r="I20" s="266">
        <f t="shared" si="14"/>
        <v>-2412899</v>
      </c>
      <c r="J20" s="266">
        <f t="shared" si="14"/>
        <v>0</v>
      </c>
      <c r="K20" s="266">
        <f t="shared" si="14"/>
        <v>0</v>
      </c>
      <c r="L20" s="265">
        <f>SUM(L21:L31)</f>
        <v>0</v>
      </c>
      <c r="M20" s="266">
        <f>SUM(M21:M31)</f>
        <v>0</v>
      </c>
      <c r="N20" s="268">
        <f>SUM(N21:N31)</f>
        <v>662992415.48799992</v>
      </c>
      <c r="P20" s="268">
        <f t="shared" ref="P20:T20" si="15">SUM(P21:P31)</f>
        <v>158816379</v>
      </c>
      <c r="Q20" s="335">
        <f t="shared" si="15"/>
        <v>162368474</v>
      </c>
      <c r="R20" s="335">
        <f t="shared" si="15"/>
        <v>158307815</v>
      </c>
      <c r="S20" s="336">
        <f t="shared" si="15"/>
        <v>166715489</v>
      </c>
      <c r="T20" s="268">
        <f t="shared" si="15"/>
        <v>0</v>
      </c>
      <c r="U20" s="268">
        <f>SUM(U21:U31)</f>
        <v>646208157</v>
      </c>
      <c r="V20" s="337">
        <f>SUM(V21:V31)</f>
        <v>16784258.487999998</v>
      </c>
      <c r="Y20" s="130"/>
      <c r="AB20" s="131"/>
      <c r="AC20" s="130"/>
    </row>
    <row r="21" spans="2:29" x14ac:dyDescent="0.25">
      <c r="B21" s="7" t="s">
        <v>18</v>
      </c>
      <c r="C21" s="252">
        <v>357754192</v>
      </c>
      <c r="D21" s="270"/>
      <c r="E21" s="271">
        <v>1106101</v>
      </c>
      <c r="F21" s="272"/>
      <c r="G21" s="272"/>
      <c r="H21" s="272"/>
      <c r="I21" s="272">
        <v>0</v>
      </c>
      <c r="J21" s="272"/>
      <c r="K21" s="272"/>
      <c r="L21" s="271">
        <v>-692045</v>
      </c>
      <c r="M21" s="273">
        <v>-153459</v>
      </c>
      <c r="N21" s="274">
        <f t="shared" ref="N21:N31" si="16">SUM(C21:M21)</f>
        <v>358014789</v>
      </c>
      <c r="P21" s="274">
        <v>81596155</v>
      </c>
      <c r="Q21" s="338">
        <v>89981816</v>
      </c>
      <c r="R21" s="338">
        <v>87765211</v>
      </c>
      <c r="S21" s="334">
        <v>89321896</v>
      </c>
      <c r="T21" s="269"/>
      <c r="U21" s="257">
        <f t="shared" ref="U21:U31" si="17">SUM(P21:T21)</f>
        <v>348665078</v>
      </c>
      <c r="V21" s="333">
        <f t="shared" ref="V21:V31" si="18">+N21-U21</f>
        <v>9349711</v>
      </c>
      <c r="Y21" s="130"/>
      <c r="AB21" s="131"/>
      <c r="AC21" s="130"/>
    </row>
    <row r="22" spans="2:29" x14ac:dyDescent="0.25">
      <c r="B22" s="7" t="s">
        <v>19</v>
      </c>
      <c r="C22" s="252">
        <v>14471663</v>
      </c>
      <c r="D22" s="253"/>
      <c r="E22" s="254">
        <v>41951</v>
      </c>
      <c r="F22" s="255"/>
      <c r="G22" s="255"/>
      <c r="H22" s="255"/>
      <c r="I22" s="255">
        <v>0</v>
      </c>
      <c r="J22" s="255"/>
      <c r="K22" s="255"/>
      <c r="L22" s="254">
        <v>685543</v>
      </c>
      <c r="M22" s="273">
        <v>153459</v>
      </c>
      <c r="N22" s="269">
        <f t="shared" si="16"/>
        <v>15352616</v>
      </c>
      <c r="P22" s="269">
        <v>3428988</v>
      </c>
      <c r="Q22" s="331">
        <v>3795674</v>
      </c>
      <c r="R22" s="331">
        <v>4344106</v>
      </c>
      <c r="S22" s="334">
        <v>3758539</v>
      </c>
      <c r="T22" s="269"/>
      <c r="U22" s="257">
        <f t="shared" si="17"/>
        <v>15327307</v>
      </c>
      <c r="V22" s="333">
        <f t="shared" si="18"/>
        <v>25309</v>
      </c>
      <c r="Y22" s="130"/>
      <c r="AB22" s="131"/>
      <c r="AC22" s="130"/>
    </row>
    <row r="23" spans="2:29" x14ac:dyDescent="0.25">
      <c r="B23" s="8" t="s">
        <v>20</v>
      </c>
      <c r="C23" s="252">
        <v>3657621</v>
      </c>
      <c r="D23" s="253"/>
      <c r="E23" s="254">
        <v>34834.48799999943</v>
      </c>
      <c r="F23" s="255"/>
      <c r="G23" s="255"/>
      <c r="H23" s="255"/>
      <c r="I23" s="255">
        <v>0</v>
      </c>
      <c r="J23" s="255"/>
      <c r="K23" s="255"/>
      <c r="L23" s="254">
        <v>1</v>
      </c>
      <c r="M23" s="256"/>
      <c r="N23" s="269">
        <f t="shared" si="16"/>
        <v>3692456.4879999994</v>
      </c>
      <c r="P23" s="257">
        <v>839974</v>
      </c>
      <c r="Q23" s="331">
        <v>925686</v>
      </c>
      <c r="R23" s="331">
        <v>925686</v>
      </c>
      <c r="S23" s="334">
        <v>918829</v>
      </c>
      <c r="T23" s="269"/>
      <c r="U23" s="257">
        <f t="shared" si="17"/>
        <v>3610175</v>
      </c>
      <c r="V23" s="333">
        <f t="shared" si="18"/>
        <v>82281.48799999943</v>
      </c>
      <c r="Y23" s="130"/>
      <c r="AB23" s="131"/>
      <c r="AC23" s="130"/>
    </row>
    <row r="24" spans="2:29" x14ac:dyDescent="0.25">
      <c r="B24" s="7" t="s">
        <v>21</v>
      </c>
      <c r="C24" s="252">
        <v>29248130</v>
      </c>
      <c r="D24" s="253"/>
      <c r="E24" s="254">
        <v>86796</v>
      </c>
      <c r="F24" s="255"/>
      <c r="G24" s="255"/>
      <c r="H24" s="255"/>
      <c r="I24" s="255">
        <v>0</v>
      </c>
      <c r="J24" s="255"/>
      <c r="K24" s="255"/>
      <c r="L24" s="254"/>
      <c r="M24" s="256"/>
      <c r="N24" s="269">
        <f t="shared" si="16"/>
        <v>29334926</v>
      </c>
      <c r="P24" s="269">
        <v>6655103</v>
      </c>
      <c r="Q24" s="331">
        <v>7394261</v>
      </c>
      <c r="R24" s="331">
        <v>7394260</v>
      </c>
      <c r="S24" s="334">
        <v>7319424</v>
      </c>
      <c r="T24" s="269"/>
      <c r="U24" s="257">
        <f t="shared" si="17"/>
        <v>28763048</v>
      </c>
      <c r="V24" s="333">
        <f t="shared" si="18"/>
        <v>571878</v>
      </c>
      <c r="Y24" s="130"/>
      <c r="AB24" s="131"/>
      <c r="AC24" s="130"/>
    </row>
    <row r="25" spans="2:29" x14ac:dyDescent="0.25">
      <c r="B25" s="7" t="s">
        <v>22</v>
      </c>
      <c r="C25" s="252">
        <v>114424000</v>
      </c>
      <c r="D25" s="253"/>
      <c r="E25" s="254">
        <v>259200</v>
      </c>
      <c r="F25" s="255"/>
      <c r="G25" s="255"/>
      <c r="H25" s="255"/>
      <c r="I25" s="255">
        <v>-2400000</v>
      </c>
      <c r="J25" s="255"/>
      <c r="K25" s="255"/>
      <c r="L25" s="254"/>
      <c r="M25" s="256"/>
      <c r="N25" s="269">
        <f t="shared" si="16"/>
        <v>112283200</v>
      </c>
      <c r="P25" s="269">
        <v>35020800</v>
      </c>
      <c r="Q25" s="331">
        <v>22420800</v>
      </c>
      <c r="R25" s="331">
        <v>22420800</v>
      </c>
      <c r="S25" s="334">
        <v>28670800</v>
      </c>
      <c r="T25" s="269"/>
      <c r="U25" s="257">
        <f t="shared" si="17"/>
        <v>108533200</v>
      </c>
      <c r="V25" s="333">
        <f t="shared" si="18"/>
        <v>3750000</v>
      </c>
      <c r="Y25" s="130"/>
      <c r="AB25" s="131"/>
      <c r="AC25" s="130"/>
    </row>
    <row r="26" spans="2:29" x14ac:dyDescent="0.25">
      <c r="B26" s="7" t="s">
        <v>23</v>
      </c>
      <c r="C26" s="252">
        <v>2115900</v>
      </c>
      <c r="D26" s="253"/>
      <c r="E26" s="254">
        <v>786000</v>
      </c>
      <c r="F26" s="255"/>
      <c r="G26" s="255"/>
      <c r="H26" s="255"/>
      <c r="I26" s="255">
        <v>-12899</v>
      </c>
      <c r="J26" s="255"/>
      <c r="K26" s="255"/>
      <c r="L26" s="254"/>
      <c r="M26" s="256"/>
      <c r="N26" s="269">
        <f t="shared" si="16"/>
        <v>2889001</v>
      </c>
      <c r="P26" s="269">
        <v>0</v>
      </c>
      <c r="Q26" s="331">
        <v>2889001</v>
      </c>
      <c r="R26" s="331"/>
      <c r="S26" s="334">
        <v>0</v>
      </c>
      <c r="T26" s="269"/>
      <c r="U26" s="257">
        <f t="shared" si="17"/>
        <v>2889001</v>
      </c>
      <c r="V26" s="333">
        <f t="shared" si="18"/>
        <v>0</v>
      </c>
      <c r="Y26" s="130"/>
      <c r="AB26" s="131"/>
      <c r="AC26" s="130"/>
    </row>
    <row r="27" spans="2:29" x14ac:dyDescent="0.25">
      <c r="B27" s="7" t="s">
        <v>24</v>
      </c>
      <c r="C27" s="252">
        <v>29248130</v>
      </c>
      <c r="D27" s="253"/>
      <c r="E27" s="254">
        <v>86796</v>
      </c>
      <c r="F27" s="255"/>
      <c r="G27" s="255"/>
      <c r="H27" s="255"/>
      <c r="I27" s="255">
        <v>0</v>
      </c>
      <c r="J27" s="255"/>
      <c r="K27" s="255"/>
      <c r="L27" s="254">
        <v>1</v>
      </c>
      <c r="M27" s="256"/>
      <c r="N27" s="269">
        <f t="shared" si="16"/>
        <v>29334927</v>
      </c>
      <c r="P27" s="269">
        <v>6784926</v>
      </c>
      <c r="Q27" s="331">
        <v>7394260</v>
      </c>
      <c r="R27" s="331">
        <v>7394261</v>
      </c>
      <c r="S27" s="334">
        <v>7319421</v>
      </c>
      <c r="T27" s="257"/>
      <c r="U27" s="257">
        <f t="shared" si="17"/>
        <v>28892868</v>
      </c>
      <c r="V27" s="333">
        <f t="shared" si="18"/>
        <v>442059</v>
      </c>
      <c r="Y27" s="130"/>
      <c r="Z27" s="15"/>
      <c r="AA27" s="15"/>
      <c r="AB27" s="131"/>
      <c r="AC27" s="130"/>
    </row>
    <row r="28" spans="2:29" x14ac:dyDescent="0.25">
      <c r="B28" s="7" t="s">
        <v>25</v>
      </c>
      <c r="C28" s="252">
        <v>3510000</v>
      </c>
      <c r="D28" s="253"/>
      <c r="E28" s="254">
        <v>13000</v>
      </c>
      <c r="F28" s="255"/>
      <c r="G28" s="255"/>
      <c r="H28" s="255"/>
      <c r="I28" s="255">
        <v>0</v>
      </c>
      <c r="J28" s="255"/>
      <c r="K28" s="255"/>
      <c r="L28" s="254"/>
      <c r="M28" s="256"/>
      <c r="N28" s="269">
        <f t="shared" si="16"/>
        <v>3523000</v>
      </c>
      <c r="P28" s="269">
        <v>187725</v>
      </c>
      <c r="Q28" s="331">
        <v>628920</v>
      </c>
      <c r="R28" s="331">
        <v>1050577</v>
      </c>
      <c r="S28" s="334">
        <v>1432608</v>
      </c>
      <c r="T28" s="257"/>
      <c r="U28" s="257">
        <f t="shared" si="17"/>
        <v>3299830</v>
      </c>
      <c r="V28" s="333">
        <f t="shared" si="18"/>
        <v>223170</v>
      </c>
      <c r="Y28" s="130"/>
      <c r="Z28" s="15"/>
      <c r="AA28" s="163"/>
      <c r="AB28" s="131"/>
      <c r="AC28" s="130"/>
    </row>
    <row r="29" spans="2:29" x14ac:dyDescent="0.25">
      <c r="B29" s="7" t="s">
        <v>26</v>
      </c>
      <c r="C29" s="252">
        <v>75675000</v>
      </c>
      <c r="D29" s="253"/>
      <c r="E29" s="254">
        <v>231000</v>
      </c>
      <c r="F29" s="255"/>
      <c r="G29" s="255"/>
      <c r="H29" s="255"/>
      <c r="I29" s="255">
        <v>0</v>
      </c>
      <c r="J29" s="255"/>
      <c r="K29" s="255"/>
      <c r="L29" s="254"/>
      <c r="M29" s="256"/>
      <c r="N29" s="269">
        <f t="shared" si="16"/>
        <v>75906000</v>
      </c>
      <c r="P29" s="269">
        <v>17184708</v>
      </c>
      <c r="Q29" s="331">
        <v>19041356</v>
      </c>
      <c r="R29" s="331">
        <v>19105514</v>
      </c>
      <c r="S29" s="334">
        <v>18888372</v>
      </c>
      <c r="T29" s="269"/>
      <c r="U29" s="257">
        <f t="shared" si="17"/>
        <v>74219950</v>
      </c>
      <c r="V29" s="333">
        <f t="shared" si="18"/>
        <v>1686050</v>
      </c>
      <c r="Y29" s="130"/>
      <c r="AB29" s="131"/>
      <c r="AC29" s="130"/>
    </row>
    <row r="30" spans="2:29" x14ac:dyDescent="0.25">
      <c r="B30" s="7" t="s">
        <v>27</v>
      </c>
      <c r="C30" s="252">
        <v>14470000</v>
      </c>
      <c r="D30" s="253"/>
      <c r="E30" s="254">
        <v>42000</v>
      </c>
      <c r="F30" s="255"/>
      <c r="G30" s="255"/>
      <c r="H30" s="255"/>
      <c r="I30" s="255">
        <v>0</v>
      </c>
      <c r="J30" s="255"/>
      <c r="K30" s="255"/>
      <c r="L30" s="254"/>
      <c r="M30" s="256"/>
      <c r="N30" s="269">
        <f t="shared" si="16"/>
        <v>14512000</v>
      </c>
      <c r="P30" s="269">
        <v>3162900</v>
      </c>
      <c r="Q30" s="331">
        <v>3509300</v>
      </c>
      <c r="R30" s="331">
        <v>3513900</v>
      </c>
      <c r="S30" s="334">
        <v>4037300</v>
      </c>
      <c r="T30" s="269"/>
      <c r="U30" s="257">
        <f t="shared" si="17"/>
        <v>14223400</v>
      </c>
      <c r="V30" s="333">
        <f t="shared" si="18"/>
        <v>288600</v>
      </c>
      <c r="Y30" s="130"/>
      <c r="AB30" s="131"/>
      <c r="AC30" s="130"/>
    </row>
    <row r="31" spans="2:29" x14ac:dyDescent="0.25">
      <c r="B31" s="7" t="s">
        <v>28</v>
      </c>
      <c r="C31" s="252">
        <v>18089000</v>
      </c>
      <c r="D31" s="275"/>
      <c r="E31" s="276">
        <v>54000</v>
      </c>
      <c r="F31" s="277"/>
      <c r="G31" s="277"/>
      <c r="H31" s="277"/>
      <c r="I31" s="277">
        <v>0</v>
      </c>
      <c r="J31" s="277"/>
      <c r="K31" s="277"/>
      <c r="L31" s="276">
        <v>6500</v>
      </c>
      <c r="M31" s="278"/>
      <c r="N31" s="279">
        <f t="shared" si="16"/>
        <v>18149500</v>
      </c>
      <c r="P31" s="279">
        <v>3955100</v>
      </c>
      <c r="Q31" s="339">
        <v>4387400</v>
      </c>
      <c r="R31" s="339">
        <v>4393500</v>
      </c>
      <c r="S31" s="334">
        <v>5048300</v>
      </c>
      <c r="T31" s="269"/>
      <c r="U31" s="257">
        <f t="shared" si="17"/>
        <v>17784300</v>
      </c>
      <c r="V31" s="333">
        <f t="shared" si="18"/>
        <v>365200</v>
      </c>
      <c r="Y31" s="130"/>
      <c r="AB31" s="131"/>
      <c r="AC31" s="130"/>
    </row>
    <row r="32" spans="2:29" x14ac:dyDescent="0.25">
      <c r="B32" s="6" t="s">
        <v>29</v>
      </c>
      <c r="C32" s="263">
        <f t="shared" ref="C32:N32" si="19">SUM(C33:C47)</f>
        <v>377323890</v>
      </c>
      <c r="D32" s="264">
        <f t="shared" si="19"/>
        <v>0</v>
      </c>
      <c r="E32" s="265">
        <f t="shared" si="19"/>
        <v>10299185</v>
      </c>
      <c r="F32" s="266">
        <f t="shared" si="19"/>
        <v>9702500</v>
      </c>
      <c r="G32" s="266">
        <f t="shared" si="19"/>
        <v>0</v>
      </c>
      <c r="H32" s="266">
        <f t="shared" si="19"/>
        <v>0</v>
      </c>
      <c r="I32" s="266">
        <f t="shared" si="19"/>
        <v>-139782036</v>
      </c>
      <c r="J32" s="266">
        <f t="shared" si="19"/>
        <v>0</v>
      </c>
      <c r="K32" s="266">
        <f t="shared" si="19"/>
        <v>0</v>
      </c>
      <c r="L32" s="265"/>
      <c r="M32" s="267"/>
      <c r="N32" s="280">
        <f t="shared" si="19"/>
        <v>257543539</v>
      </c>
      <c r="P32" s="268">
        <f t="shared" ref="P32:T32" si="20">SUM(P33:P47)</f>
        <v>61624466</v>
      </c>
      <c r="Q32" s="335">
        <f t="shared" si="20"/>
        <v>27028067</v>
      </c>
      <c r="R32" s="335">
        <f t="shared" si="20"/>
        <v>35720350</v>
      </c>
      <c r="S32" s="336">
        <f t="shared" si="20"/>
        <v>72442889</v>
      </c>
      <c r="T32" s="268">
        <f t="shared" si="20"/>
        <v>0</v>
      </c>
      <c r="U32" s="280">
        <f>SUM(U33:U47)</f>
        <v>196815772</v>
      </c>
      <c r="V32" s="340">
        <f>SUM(V33:V47)</f>
        <v>60727767</v>
      </c>
      <c r="Y32" s="130"/>
      <c r="AB32" s="131"/>
      <c r="AC32" s="130"/>
    </row>
    <row r="33" spans="2:29" x14ac:dyDescent="0.25">
      <c r="B33" s="7" t="s">
        <v>64</v>
      </c>
      <c r="C33" s="252">
        <v>20325944</v>
      </c>
      <c r="D33" s="270"/>
      <c r="E33" s="271">
        <v>9005866</v>
      </c>
      <c r="F33" s="272"/>
      <c r="G33" s="272"/>
      <c r="H33" s="272"/>
      <c r="I33" s="272">
        <v>-2273403</v>
      </c>
      <c r="J33" s="272"/>
      <c r="K33" s="272"/>
      <c r="L33" s="271"/>
      <c r="M33" s="281"/>
      <c r="N33" s="274">
        <f t="shared" ref="N33:N47" si="21">SUM(C33:M33)</f>
        <v>27058407</v>
      </c>
      <c r="P33" s="274">
        <v>9976702</v>
      </c>
      <c r="Q33" s="338">
        <v>9070305</v>
      </c>
      <c r="R33" s="338">
        <v>2310000</v>
      </c>
      <c r="S33" s="334">
        <v>5390000</v>
      </c>
      <c r="T33" s="269"/>
      <c r="U33" s="257">
        <f>SUM(P33:T33)</f>
        <v>26747007</v>
      </c>
      <c r="V33" s="333">
        <f>+N33-U33</f>
        <v>311400</v>
      </c>
      <c r="Y33" s="130"/>
      <c r="AB33" s="131"/>
      <c r="AC33" s="130"/>
    </row>
    <row r="34" spans="2:29" x14ac:dyDescent="0.25">
      <c r="B34" s="7" t="s">
        <v>30</v>
      </c>
      <c r="C34" s="252">
        <v>0</v>
      </c>
      <c r="D34" s="253"/>
      <c r="E34" s="254">
        <v>0</v>
      </c>
      <c r="F34" s="255"/>
      <c r="G34" s="255"/>
      <c r="H34" s="255"/>
      <c r="I34" s="255">
        <v>0</v>
      </c>
      <c r="J34" s="255"/>
      <c r="K34" s="255"/>
      <c r="L34" s="254"/>
      <c r="M34" s="256"/>
      <c r="N34" s="269">
        <f t="shared" si="21"/>
        <v>0</v>
      </c>
      <c r="P34" s="269">
        <v>0</v>
      </c>
      <c r="Q34" s="331"/>
      <c r="R34" s="331"/>
      <c r="S34" s="334"/>
      <c r="T34" s="269"/>
      <c r="U34" s="257">
        <f t="shared" ref="U34:U47" si="22">SUM(P34:T34)</f>
        <v>0</v>
      </c>
      <c r="V34" s="333">
        <f t="shared" ref="V34:V49" si="23">+N34-U34</f>
        <v>0</v>
      </c>
      <c r="Y34" s="130"/>
      <c r="AB34" s="131"/>
      <c r="AC34" s="130"/>
    </row>
    <row r="35" spans="2:29" x14ac:dyDescent="0.25">
      <c r="B35" s="7" t="s">
        <v>31</v>
      </c>
      <c r="C35" s="252">
        <v>15578690</v>
      </c>
      <c r="D35" s="253"/>
      <c r="E35" s="254">
        <v>575676</v>
      </c>
      <c r="F35" s="255"/>
      <c r="G35" s="255"/>
      <c r="H35" s="255"/>
      <c r="I35" s="255">
        <v>-3186388</v>
      </c>
      <c r="J35" s="255"/>
      <c r="K35" s="255"/>
      <c r="L35" s="254"/>
      <c r="M35" s="256"/>
      <c r="N35" s="269">
        <f t="shared" si="21"/>
        <v>12967978</v>
      </c>
      <c r="P35" s="269">
        <v>3309426</v>
      </c>
      <c r="Q35" s="331">
        <v>2960838</v>
      </c>
      <c r="R35" s="331">
        <v>3057965</v>
      </c>
      <c r="S35" s="334">
        <v>3223896</v>
      </c>
      <c r="T35" s="269"/>
      <c r="U35" s="257">
        <f t="shared" si="22"/>
        <v>12552125</v>
      </c>
      <c r="V35" s="333">
        <f t="shared" si="23"/>
        <v>415853</v>
      </c>
      <c r="Y35" s="130"/>
      <c r="AB35" s="131"/>
      <c r="AC35" s="130"/>
    </row>
    <row r="36" spans="2:29" x14ac:dyDescent="0.25">
      <c r="B36" s="7" t="s">
        <v>32</v>
      </c>
      <c r="C36" s="252">
        <v>5837400</v>
      </c>
      <c r="D36" s="253"/>
      <c r="E36" s="254">
        <v>16920</v>
      </c>
      <c r="F36" s="255"/>
      <c r="G36" s="255"/>
      <c r="H36" s="255"/>
      <c r="I36" s="255">
        <v>0</v>
      </c>
      <c r="J36" s="255"/>
      <c r="K36" s="255"/>
      <c r="L36" s="254"/>
      <c r="M36" s="256"/>
      <c r="N36" s="269">
        <f t="shared" si="21"/>
        <v>5854320</v>
      </c>
      <c r="P36" s="269">
        <v>1361498</v>
      </c>
      <c r="Q36" s="331">
        <v>1463580</v>
      </c>
      <c r="R36" s="331">
        <v>1463580</v>
      </c>
      <c r="S36" s="334">
        <v>1565662</v>
      </c>
      <c r="T36" s="269"/>
      <c r="U36" s="257">
        <f t="shared" si="22"/>
        <v>5854320</v>
      </c>
      <c r="V36" s="333">
        <f t="shared" si="23"/>
        <v>0</v>
      </c>
      <c r="Y36" s="130"/>
      <c r="AB36" s="131"/>
      <c r="AC36" s="130"/>
    </row>
    <row r="37" spans="2:29" x14ac:dyDescent="0.25">
      <c r="B37" s="7" t="s">
        <v>33</v>
      </c>
      <c r="C37" s="252">
        <v>145399304</v>
      </c>
      <c r="D37" s="253"/>
      <c r="E37" s="254">
        <v>334998</v>
      </c>
      <c r="F37" s="255"/>
      <c r="G37" s="255"/>
      <c r="H37" s="255"/>
      <c r="I37" s="255">
        <v>-68419708</v>
      </c>
      <c r="J37" s="255"/>
      <c r="K37" s="255"/>
      <c r="L37" s="254"/>
      <c r="M37" s="256"/>
      <c r="N37" s="269">
        <f t="shared" si="21"/>
        <v>77314594</v>
      </c>
      <c r="P37" s="269">
        <v>19128310</v>
      </c>
      <c r="Q37" s="331">
        <v>0</v>
      </c>
      <c r="R37" s="331">
        <v>1481300</v>
      </c>
      <c r="S37" s="334">
        <v>11653162</v>
      </c>
      <c r="T37" s="269"/>
      <c r="U37" s="257">
        <f t="shared" si="22"/>
        <v>32262772</v>
      </c>
      <c r="V37" s="333">
        <f t="shared" si="23"/>
        <v>45051822</v>
      </c>
      <c r="Y37" s="130"/>
      <c r="AB37" s="131"/>
      <c r="AC37" s="130"/>
    </row>
    <row r="38" spans="2:29" x14ac:dyDescent="0.25">
      <c r="B38" s="7" t="s">
        <v>34</v>
      </c>
      <c r="C38" s="252">
        <v>31726517</v>
      </c>
      <c r="D38" s="253"/>
      <c r="E38" s="254">
        <v>50970</v>
      </c>
      <c r="F38" s="255"/>
      <c r="G38" s="255"/>
      <c r="H38" s="255"/>
      <c r="I38" s="255">
        <v>-3846781</v>
      </c>
      <c r="J38" s="255"/>
      <c r="K38" s="255"/>
      <c r="L38" s="254"/>
      <c r="M38" s="256"/>
      <c r="N38" s="269">
        <f t="shared" si="21"/>
        <v>27930706</v>
      </c>
      <c r="P38" s="269">
        <v>14714479</v>
      </c>
      <c r="Q38" s="331">
        <v>0</v>
      </c>
      <c r="R38" s="331">
        <v>11778000</v>
      </c>
      <c r="S38" s="334">
        <v>491550</v>
      </c>
      <c r="T38" s="269"/>
      <c r="U38" s="257">
        <f t="shared" si="22"/>
        <v>26984029</v>
      </c>
      <c r="V38" s="333">
        <f t="shared" si="23"/>
        <v>946677</v>
      </c>
      <c r="Y38" s="130"/>
      <c r="AB38" s="131"/>
      <c r="AC38" s="130"/>
    </row>
    <row r="39" spans="2:29" x14ac:dyDescent="0.25">
      <c r="B39" s="7" t="s">
        <v>35</v>
      </c>
      <c r="C39" s="252">
        <v>0</v>
      </c>
      <c r="D39" s="253"/>
      <c r="E39" s="254">
        <v>0</v>
      </c>
      <c r="F39" s="255"/>
      <c r="G39" s="255"/>
      <c r="H39" s="255"/>
      <c r="I39" s="255">
        <v>0</v>
      </c>
      <c r="J39" s="255"/>
      <c r="K39" s="255"/>
      <c r="L39" s="254"/>
      <c r="M39" s="256"/>
      <c r="N39" s="269">
        <f t="shared" si="21"/>
        <v>0</v>
      </c>
      <c r="P39" s="269">
        <v>0</v>
      </c>
      <c r="Q39" s="331"/>
      <c r="R39" s="331"/>
      <c r="S39" s="341">
        <v>0</v>
      </c>
      <c r="T39" s="269"/>
      <c r="U39" s="257">
        <f t="shared" si="22"/>
        <v>0</v>
      </c>
      <c r="V39" s="333">
        <f t="shared" si="23"/>
        <v>0</v>
      </c>
      <c r="Y39" s="130"/>
      <c r="AB39" s="131"/>
      <c r="AC39" s="130"/>
    </row>
    <row r="40" spans="2:29" x14ac:dyDescent="0.25">
      <c r="B40" s="7" t="s">
        <v>36</v>
      </c>
      <c r="C40" s="252">
        <v>32750940</v>
      </c>
      <c r="D40" s="253"/>
      <c r="E40" s="254">
        <v>91452</v>
      </c>
      <c r="F40" s="255">
        <v>9702500</v>
      </c>
      <c r="G40" s="255"/>
      <c r="H40" s="255"/>
      <c r="I40" s="255">
        <v>-2806553</v>
      </c>
      <c r="J40" s="255"/>
      <c r="K40" s="255"/>
      <c r="L40" s="254"/>
      <c r="M40" s="256"/>
      <c r="N40" s="269">
        <f t="shared" si="21"/>
        <v>39738339</v>
      </c>
      <c r="P40" s="269">
        <v>3328125</v>
      </c>
      <c r="Q40" s="331">
        <v>3973756</v>
      </c>
      <c r="R40" s="331">
        <v>5310498</v>
      </c>
      <c r="S40" s="341">
        <v>26805204</v>
      </c>
      <c r="T40" s="269"/>
      <c r="U40" s="257">
        <f t="shared" si="22"/>
        <v>39417583</v>
      </c>
      <c r="V40" s="333">
        <f t="shared" si="23"/>
        <v>320756</v>
      </c>
      <c r="Y40" s="130"/>
      <c r="AB40" s="131"/>
      <c r="AC40" s="130"/>
    </row>
    <row r="41" spans="2:29" x14ac:dyDescent="0.25">
      <c r="B41" s="7" t="s">
        <v>65</v>
      </c>
      <c r="C41" s="252">
        <v>4692850</v>
      </c>
      <c r="D41" s="253"/>
      <c r="E41" s="254">
        <v>0</v>
      </c>
      <c r="F41" s="255"/>
      <c r="G41" s="255"/>
      <c r="H41" s="255"/>
      <c r="I41" s="255">
        <v>-4999</v>
      </c>
      <c r="J41" s="255"/>
      <c r="K41" s="255"/>
      <c r="L41" s="254"/>
      <c r="M41" s="256"/>
      <c r="N41" s="269">
        <f t="shared" si="21"/>
        <v>4687851</v>
      </c>
      <c r="P41" s="269">
        <v>1201214</v>
      </c>
      <c r="Q41" s="331">
        <v>440000</v>
      </c>
      <c r="R41" s="331">
        <v>1145332</v>
      </c>
      <c r="S41" s="341">
        <v>1065000</v>
      </c>
      <c r="T41" s="269"/>
      <c r="U41" s="257">
        <f t="shared" si="22"/>
        <v>3851546</v>
      </c>
      <c r="V41" s="333">
        <f t="shared" si="23"/>
        <v>836305</v>
      </c>
      <c r="Y41" s="130"/>
      <c r="AB41" s="131"/>
      <c r="AC41" s="130"/>
    </row>
    <row r="42" spans="2:29" x14ac:dyDescent="0.25">
      <c r="B42" s="7" t="s">
        <v>37</v>
      </c>
      <c r="C42" s="252">
        <v>2769207</v>
      </c>
      <c r="D42" s="253"/>
      <c r="E42" s="254">
        <v>4548</v>
      </c>
      <c r="F42" s="255"/>
      <c r="G42" s="255"/>
      <c r="H42" s="255"/>
      <c r="I42" s="255">
        <v>-617000</v>
      </c>
      <c r="J42" s="255"/>
      <c r="K42" s="255"/>
      <c r="L42" s="254"/>
      <c r="M42" s="256"/>
      <c r="N42" s="269">
        <f t="shared" si="21"/>
        <v>2156755</v>
      </c>
      <c r="P42" s="269">
        <v>235000</v>
      </c>
      <c r="Q42" s="331">
        <v>320300</v>
      </c>
      <c r="R42" s="331">
        <v>130950</v>
      </c>
      <c r="S42" s="334">
        <v>602818</v>
      </c>
      <c r="T42" s="269"/>
      <c r="U42" s="257">
        <f t="shared" si="22"/>
        <v>1289068</v>
      </c>
      <c r="V42" s="333">
        <f t="shared" si="23"/>
        <v>867687</v>
      </c>
      <c r="X42" s="359"/>
      <c r="Y42" s="130"/>
      <c r="AB42" s="131"/>
      <c r="AC42" s="130"/>
    </row>
    <row r="43" spans="2:29" x14ac:dyDescent="0.25">
      <c r="B43" s="7" t="s">
        <v>38</v>
      </c>
      <c r="C43" s="252">
        <v>45050000</v>
      </c>
      <c r="D43" s="253"/>
      <c r="E43" s="254">
        <v>90000</v>
      </c>
      <c r="F43" s="255"/>
      <c r="G43" s="255"/>
      <c r="H43" s="255"/>
      <c r="I43" s="255">
        <v>-25000000</v>
      </c>
      <c r="J43" s="255"/>
      <c r="K43" s="255"/>
      <c r="L43" s="254"/>
      <c r="M43" s="256"/>
      <c r="N43" s="269">
        <f t="shared" si="21"/>
        <v>20140000</v>
      </c>
      <c r="P43" s="269">
        <v>3389291</v>
      </c>
      <c r="Q43" s="331">
        <v>3904567</v>
      </c>
      <c r="R43" s="331">
        <v>4145104</v>
      </c>
      <c r="S43" s="334">
        <v>7683925</v>
      </c>
      <c r="T43" s="269"/>
      <c r="U43" s="257">
        <f t="shared" si="22"/>
        <v>19122887</v>
      </c>
      <c r="V43" s="333">
        <f t="shared" si="23"/>
        <v>1017113</v>
      </c>
      <c r="Y43" s="130"/>
      <c r="AB43" s="131"/>
      <c r="AC43" s="130"/>
    </row>
    <row r="44" spans="2:29" x14ac:dyDescent="0.25">
      <c r="B44" s="7" t="s">
        <v>39</v>
      </c>
      <c r="C44" s="252">
        <v>18338136</v>
      </c>
      <c r="D44" s="253"/>
      <c r="E44" s="254">
        <v>53153</v>
      </c>
      <c r="F44" s="255"/>
      <c r="G44" s="255"/>
      <c r="H44" s="255"/>
      <c r="I44" s="255">
        <v>0</v>
      </c>
      <c r="J44" s="255"/>
      <c r="K44" s="255"/>
      <c r="L44" s="254"/>
      <c r="M44" s="256"/>
      <c r="N44" s="269">
        <f t="shared" si="21"/>
        <v>18391289</v>
      </c>
      <c r="P44" s="269">
        <v>4597821</v>
      </c>
      <c r="Q44" s="331">
        <v>4597821</v>
      </c>
      <c r="R44" s="331">
        <v>4597821</v>
      </c>
      <c r="S44" s="334">
        <v>4597821</v>
      </c>
      <c r="T44" s="269"/>
      <c r="U44" s="257">
        <f t="shared" si="22"/>
        <v>18391284</v>
      </c>
      <c r="V44" s="333">
        <f t="shared" si="23"/>
        <v>5</v>
      </c>
      <c r="Y44" s="130"/>
      <c r="AB44" s="131"/>
      <c r="AC44" s="130"/>
    </row>
    <row r="45" spans="2:29" x14ac:dyDescent="0.25">
      <c r="B45" s="7" t="s">
        <v>66</v>
      </c>
      <c r="C45" s="252">
        <v>1200000</v>
      </c>
      <c r="D45" s="253"/>
      <c r="E45" s="254">
        <v>0</v>
      </c>
      <c r="F45" s="255"/>
      <c r="G45" s="255"/>
      <c r="H45" s="255"/>
      <c r="I45" s="255">
        <v>0</v>
      </c>
      <c r="J45" s="255"/>
      <c r="K45" s="255"/>
      <c r="L45" s="254"/>
      <c r="M45" s="256"/>
      <c r="N45" s="269">
        <f t="shared" si="21"/>
        <v>1200000</v>
      </c>
      <c r="P45" s="269">
        <v>279300</v>
      </c>
      <c r="Q45" s="331">
        <v>296900</v>
      </c>
      <c r="R45" s="331">
        <v>299800</v>
      </c>
      <c r="S45" s="334">
        <v>321200</v>
      </c>
      <c r="T45" s="269"/>
      <c r="U45" s="257">
        <f t="shared" si="22"/>
        <v>1197200</v>
      </c>
      <c r="V45" s="333">
        <f t="shared" si="23"/>
        <v>2800</v>
      </c>
      <c r="Y45" s="130"/>
      <c r="AB45" s="131"/>
      <c r="AC45" s="130"/>
    </row>
    <row r="46" spans="2:29" x14ac:dyDescent="0.25">
      <c r="B46" s="7" t="s">
        <v>40</v>
      </c>
      <c r="C46" s="252">
        <v>15000000</v>
      </c>
      <c r="D46" s="253"/>
      <c r="E46" s="254">
        <v>0</v>
      </c>
      <c r="F46" s="255"/>
      <c r="G46" s="255"/>
      <c r="H46" s="255"/>
      <c r="I46" s="255">
        <v>0</v>
      </c>
      <c r="J46" s="255"/>
      <c r="K46" s="255"/>
      <c r="L46" s="254"/>
      <c r="M46" s="256"/>
      <c r="N46" s="269">
        <f t="shared" si="21"/>
        <v>15000000</v>
      </c>
      <c r="P46" s="269">
        <v>0</v>
      </c>
      <c r="Q46" s="331"/>
      <c r="R46" s="331"/>
      <c r="S46" s="334">
        <v>9042651</v>
      </c>
      <c r="T46" s="269"/>
      <c r="U46" s="257">
        <f t="shared" si="22"/>
        <v>9042651</v>
      </c>
      <c r="V46" s="333">
        <f t="shared" si="23"/>
        <v>5957349</v>
      </c>
      <c r="X46" s="359"/>
      <c r="Y46" s="130"/>
      <c r="AB46" s="131"/>
      <c r="AC46" s="130"/>
    </row>
    <row r="47" spans="2:29" ht="16.5" thickBot="1" x14ac:dyDescent="0.3">
      <c r="B47" s="9" t="s">
        <v>41</v>
      </c>
      <c r="C47" s="252">
        <v>38654902</v>
      </c>
      <c r="D47" s="275"/>
      <c r="E47" s="276">
        <v>75602</v>
      </c>
      <c r="F47" s="277"/>
      <c r="G47" s="277"/>
      <c r="H47" s="277"/>
      <c r="I47" s="277">
        <v>-33627204</v>
      </c>
      <c r="J47" s="277"/>
      <c r="K47" s="277"/>
      <c r="L47" s="276"/>
      <c r="M47" s="278"/>
      <c r="N47" s="282">
        <f t="shared" si="21"/>
        <v>5103300</v>
      </c>
      <c r="P47" s="279">
        <v>103300</v>
      </c>
      <c r="Q47" s="339">
        <v>0</v>
      </c>
      <c r="R47" s="339">
        <v>0</v>
      </c>
      <c r="S47" s="334">
        <v>0</v>
      </c>
      <c r="T47" s="269"/>
      <c r="U47" s="257">
        <f t="shared" si="22"/>
        <v>103300</v>
      </c>
      <c r="V47" s="333">
        <f t="shared" si="23"/>
        <v>5000000</v>
      </c>
      <c r="X47" s="359"/>
      <c r="Y47" s="130"/>
      <c r="AB47" s="131"/>
      <c r="AC47" s="130"/>
    </row>
    <row r="48" spans="2:29" ht="16.5" thickBot="1" x14ac:dyDescent="0.3">
      <c r="B48" s="64" t="s">
        <v>67</v>
      </c>
      <c r="C48" s="283">
        <f>+C49</f>
        <v>564719999.89999998</v>
      </c>
      <c r="D48" s="284">
        <f t="shared" ref="D48:K48" si="24">+D49</f>
        <v>0</v>
      </c>
      <c r="E48" s="285">
        <f t="shared" si="24"/>
        <v>0</v>
      </c>
      <c r="F48" s="286">
        <f t="shared" si="24"/>
        <v>0</v>
      </c>
      <c r="G48" s="286">
        <f t="shared" si="24"/>
        <v>0</v>
      </c>
      <c r="H48" s="286">
        <f t="shared" si="24"/>
        <v>0</v>
      </c>
      <c r="I48" s="286">
        <f t="shared" si="24"/>
        <v>0</v>
      </c>
      <c r="J48" s="286">
        <f t="shared" si="24"/>
        <v>8925957.9000000004</v>
      </c>
      <c r="K48" s="286">
        <f t="shared" si="24"/>
        <v>2451000</v>
      </c>
      <c r="L48" s="285"/>
      <c r="M48" s="287"/>
      <c r="N48" s="288">
        <f>+N49</f>
        <v>576096957.80000007</v>
      </c>
      <c r="P48" s="288">
        <f t="shared" ref="P48:T48" si="25">+P49</f>
        <v>143525585</v>
      </c>
      <c r="Q48" s="342">
        <f t="shared" si="25"/>
        <v>120239573.7</v>
      </c>
      <c r="R48" s="342">
        <f t="shared" si="25"/>
        <v>124872019.5</v>
      </c>
      <c r="S48" s="343">
        <f t="shared" si="25"/>
        <v>126723338.60000001</v>
      </c>
      <c r="T48" s="288">
        <f t="shared" si="25"/>
        <v>0</v>
      </c>
      <c r="U48" s="288">
        <f>+U49</f>
        <v>515360516.80000001</v>
      </c>
      <c r="V48" s="344">
        <f>+V49</f>
        <v>60736441.00000006</v>
      </c>
      <c r="Y48" s="130"/>
      <c r="AB48" s="131"/>
      <c r="AC48" s="130"/>
    </row>
    <row r="49" spans="2:29" x14ac:dyDescent="0.25">
      <c r="B49" s="10" t="s">
        <v>42</v>
      </c>
      <c r="C49" s="289">
        <f t="shared" ref="C49:K49" si="26">(C10+C11)*10%</f>
        <v>564719999.89999998</v>
      </c>
      <c r="D49" s="270">
        <f t="shared" si="26"/>
        <v>0</v>
      </c>
      <c r="E49" s="271">
        <f t="shared" si="26"/>
        <v>0</v>
      </c>
      <c r="F49" s="272">
        <f t="shared" si="26"/>
        <v>0</v>
      </c>
      <c r="G49" s="272">
        <f t="shared" si="26"/>
        <v>0</v>
      </c>
      <c r="H49" s="272">
        <f t="shared" si="26"/>
        <v>0</v>
      </c>
      <c r="I49" s="272">
        <f t="shared" si="26"/>
        <v>0</v>
      </c>
      <c r="J49" s="272">
        <f t="shared" si="26"/>
        <v>8925957.9000000004</v>
      </c>
      <c r="K49" s="272">
        <f t="shared" si="26"/>
        <v>2451000</v>
      </c>
      <c r="L49" s="271"/>
      <c r="M49" s="281"/>
      <c r="N49" s="290">
        <f>(N10+N11)*10%</f>
        <v>576096957.80000007</v>
      </c>
      <c r="P49" s="274">
        <f>(P10+P11)*10%</f>
        <v>143525585</v>
      </c>
      <c r="Q49" s="338">
        <f>(Q10+Q11)*10%</f>
        <v>120239573.7</v>
      </c>
      <c r="R49" s="338">
        <f>(R10+R11)*10%</f>
        <v>124872019.5</v>
      </c>
      <c r="S49" s="345">
        <f>(S10+S11)*10%</f>
        <v>126723338.60000001</v>
      </c>
      <c r="T49" s="274">
        <f t="shared" ref="T49" si="27">(T10+T11)*10%</f>
        <v>0</v>
      </c>
      <c r="U49" s="257">
        <f>(U10+U11)*10%</f>
        <v>515360516.80000001</v>
      </c>
      <c r="V49" s="333">
        <f t="shared" si="23"/>
        <v>60736441.00000006</v>
      </c>
      <c r="Y49" s="130"/>
      <c r="AB49" s="131"/>
      <c r="AC49" s="130"/>
    </row>
    <row r="50" spans="2:29" x14ac:dyDescent="0.25">
      <c r="B50" s="5" t="s">
        <v>68</v>
      </c>
      <c r="C50" s="263">
        <f t="shared" ref="C50:K50" si="28">+C51+C63+C81</f>
        <v>3069835256</v>
      </c>
      <c r="D50" s="264">
        <f t="shared" si="28"/>
        <v>0</v>
      </c>
      <c r="E50" s="265">
        <f t="shared" si="28"/>
        <v>36613615.495999999</v>
      </c>
      <c r="F50" s="266">
        <f t="shared" si="28"/>
        <v>700650000</v>
      </c>
      <c r="G50" s="266">
        <f t="shared" si="28"/>
        <v>-150000000</v>
      </c>
      <c r="H50" s="266">
        <f t="shared" si="28"/>
        <v>46172000</v>
      </c>
      <c r="I50" s="266">
        <f t="shared" si="28"/>
        <v>-630709594</v>
      </c>
      <c r="J50" s="266">
        <f t="shared" si="28"/>
        <v>0</v>
      </c>
      <c r="K50" s="266">
        <f t="shared" si="28"/>
        <v>0</v>
      </c>
      <c r="L50" s="265"/>
      <c r="M50" s="267"/>
      <c r="N50" s="268">
        <f>+N51+N63+N81</f>
        <v>3072561277.4960003</v>
      </c>
      <c r="P50" s="268">
        <f t="shared" ref="P50:T50" si="29">+P51+P63+P81</f>
        <v>479701420</v>
      </c>
      <c r="Q50" s="335">
        <f t="shared" si="29"/>
        <v>587950669</v>
      </c>
      <c r="R50" s="335">
        <f t="shared" si="29"/>
        <v>636567833</v>
      </c>
      <c r="S50" s="336">
        <f t="shared" si="29"/>
        <v>1168394257</v>
      </c>
      <c r="T50" s="268">
        <f t="shared" si="29"/>
        <v>0</v>
      </c>
      <c r="U50" s="268">
        <f>+U51+U63+U81</f>
        <v>2872614179</v>
      </c>
      <c r="V50" s="337">
        <f>+V51+V63+V81</f>
        <v>199947098.49599999</v>
      </c>
      <c r="Y50" s="130"/>
      <c r="AB50" s="131"/>
      <c r="AC50" s="130"/>
    </row>
    <row r="51" spans="2:29" x14ac:dyDescent="0.25">
      <c r="B51" s="6" t="s">
        <v>17</v>
      </c>
      <c r="C51" s="291">
        <f>SUM(C52:C62)</f>
        <v>1191732668</v>
      </c>
      <c r="D51" s="292">
        <f t="shared" ref="D51:K51" si="30">SUM(D52:D62)</f>
        <v>0</v>
      </c>
      <c r="E51" s="293">
        <f t="shared" si="30"/>
        <v>3505304.4959999998</v>
      </c>
      <c r="F51" s="294">
        <f t="shared" si="30"/>
        <v>0</v>
      </c>
      <c r="G51" s="294">
        <f t="shared" si="30"/>
        <v>0</v>
      </c>
      <c r="H51" s="294">
        <f t="shared" si="30"/>
        <v>46172000</v>
      </c>
      <c r="I51" s="294">
        <f t="shared" si="30"/>
        <v>-204009183</v>
      </c>
      <c r="J51" s="294">
        <f t="shared" si="30"/>
        <v>0</v>
      </c>
      <c r="K51" s="294">
        <f t="shared" si="30"/>
        <v>0</v>
      </c>
      <c r="L51" s="293"/>
      <c r="M51" s="295"/>
      <c r="N51" s="280">
        <f>SUM(N52:N62)</f>
        <v>1037400789.4960001</v>
      </c>
      <c r="P51" s="280">
        <f t="shared" ref="P51:T51" si="31">SUM(P52:P62)</f>
        <v>210241112</v>
      </c>
      <c r="Q51" s="346">
        <f t="shared" si="31"/>
        <v>253299814</v>
      </c>
      <c r="R51" s="346">
        <f t="shared" si="31"/>
        <v>259759069</v>
      </c>
      <c r="S51" s="347">
        <f t="shared" si="31"/>
        <v>252859385</v>
      </c>
      <c r="T51" s="280">
        <f t="shared" si="31"/>
        <v>0</v>
      </c>
      <c r="U51" s="280">
        <f>SUM(U52:U62)</f>
        <v>976159380</v>
      </c>
      <c r="V51" s="340">
        <f>SUM(V52:V62)</f>
        <v>61241409.495999999</v>
      </c>
      <c r="Y51" s="130"/>
      <c r="AB51" s="131"/>
      <c r="AC51" s="130"/>
    </row>
    <row r="52" spans="2:29" x14ac:dyDescent="0.25">
      <c r="B52" s="8" t="s">
        <v>18</v>
      </c>
      <c r="C52" s="296">
        <v>710682861</v>
      </c>
      <c r="D52" s="297"/>
      <c r="E52" s="298">
        <v>2128889</v>
      </c>
      <c r="F52" s="299"/>
      <c r="G52" s="299"/>
      <c r="H52" s="299"/>
      <c r="I52" s="299">
        <v>-105590655</v>
      </c>
      <c r="J52" s="299"/>
      <c r="K52" s="299"/>
      <c r="L52" s="298"/>
      <c r="M52" s="300"/>
      <c r="N52" s="290">
        <f t="shared" ref="N52:N62" si="32">SUM(C52:M52)</f>
        <v>607221095</v>
      </c>
      <c r="P52" s="290">
        <v>138453287</v>
      </c>
      <c r="Q52" s="348">
        <v>161972388</v>
      </c>
      <c r="R52" s="348">
        <v>145015969</v>
      </c>
      <c r="S52" s="334">
        <v>124303126</v>
      </c>
      <c r="T52" s="269"/>
      <c r="U52" s="257">
        <f>SUM(P52:T52)</f>
        <v>569744770</v>
      </c>
      <c r="V52" s="333">
        <f>+N52-U52</f>
        <v>37476325</v>
      </c>
      <c r="Y52" s="130"/>
      <c r="AB52" s="131"/>
      <c r="AC52" s="130"/>
    </row>
    <row r="53" spans="2:29" x14ac:dyDescent="0.25">
      <c r="B53" s="8" t="s">
        <v>19</v>
      </c>
      <c r="C53" s="296">
        <v>29178232</v>
      </c>
      <c r="D53" s="301"/>
      <c r="E53" s="302">
        <v>84569</v>
      </c>
      <c r="F53" s="303"/>
      <c r="G53" s="303"/>
      <c r="H53" s="303"/>
      <c r="I53" s="303">
        <v>-4405803</v>
      </c>
      <c r="J53" s="303"/>
      <c r="K53" s="303"/>
      <c r="L53" s="302"/>
      <c r="M53" s="304"/>
      <c r="N53" s="305">
        <f t="shared" si="32"/>
        <v>24856998</v>
      </c>
      <c r="P53" s="305">
        <v>5675108</v>
      </c>
      <c r="Q53" s="349">
        <v>6639122</v>
      </c>
      <c r="R53" s="349">
        <v>5942928</v>
      </c>
      <c r="S53" s="334">
        <v>5069566</v>
      </c>
      <c r="T53" s="269"/>
      <c r="U53" s="257">
        <f t="shared" ref="U53:U62" si="33">SUM(P53:T53)</f>
        <v>23326724</v>
      </c>
      <c r="V53" s="333">
        <f t="shared" ref="V53:V62" si="34">+N53-U53</f>
        <v>1530274</v>
      </c>
      <c r="Y53" s="130"/>
      <c r="AB53" s="131"/>
      <c r="AC53" s="130"/>
    </row>
    <row r="54" spans="2:29" x14ac:dyDescent="0.25">
      <c r="B54" s="8" t="s">
        <v>20</v>
      </c>
      <c r="C54" s="296">
        <v>1219207</v>
      </c>
      <c r="D54" s="301"/>
      <c r="E54" s="302">
        <v>11612.495999999799</v>
      </c>
      <c r="F54" s="303"/>
      <c r="G54" s="303"/>
      <c r="H54" s="303"/>
      <c r="I54" s="303">
        <v>0</v>
      </c>
      <c r="J54" s="303"/>
      <c r="K54" s="303"/>
      <c r="L54" s="302"/>
      <c r="M54" s="304"/>
      <c r="N54" s="305">
        <f t="shared" si="32"/>
        <v>1230819.4959999998</v>
      </c>
      <c r="P54" s="350">
        <v>294848</v>
      </c>
      <c r="Q54" s="351">
        <v>308562</v>
      </c>
      <c r="R54" s="351">
        <v>308562</v>
      </c>
      <c r="S54" s="341">
        <v>308562</v>
      </c>
      <c r="T54" s="257"/>
      <c r="U54" s="257">
        <f t="shared" si="33"/>
        <v>1220534</v>
      </c>
      <c r="V54" s="333">
        <f t="shared" si="34"/>
        <v>10285.49599999981</v>
      </c>
      <c r="Y54" s="130"/>
      <c r="AB54" s="131"/>
      <c r="AC54" s="130"/>
    </row>
    <row r="55" spans="2:29" x14ac:dyDescent="0.25">
      <c r="B55" s="8" t="s">
        <v>21</v>
      </c>
      <c r="C55" s="296">
        <v>58458068</v>
      </c>
      <c r="D55" s="301"/>
      <c r="E55" s="302">
        <v>170117</v>
      </c>
      <c r="F55" s="303"/>
      <c r="G55" s="303"/>
      <c r="H55" s="303"/>
      <c r="I55" s="303">
        <v>-8811608</v>
      </c>
      <c r="J55" s="303"/>
      <c r="K55" s="303"/>
      <c r="L55" s="302"/>
      <c r="M55" s="304"/>
      <c r="N55" s="305">
        <f t="shared" si="32"/>
        <v>49816577</v>
      </c>
      <c r="P55" s="305">
        <v>11330506</v>
      </c>
      <c r="Q55" s="349">
        <v>13303960</v>
      </c>
      <c r="R55" s="349">
        <v>11911568</v>
      </c>
      <c r="S55" s="334">
        <v>10164859</v>
      </c>
      <c r="T55" s="269"/>
      <c r="U55" s="257">
        <f t="shared" si="33"/>
        <v>46710893</v>
      </c>
      <c r="V55" s="333">
        <f t="shared" si="34"/>
        <v>3105684</v>
      </c>
      <c r="Y55" s="130"/>
      <c r="AB55" s="131"/>
      <c r="AC55" s="130"/>
    </row>
    <row r="56" spans="2:29" x14ac:dyDescent="0.25">
      <c r="B56" s="8" t="s">
        <v>22</v>
      </c>
      <c r="C56" s="296">
        <v>103667932</v>
      </c>
      <c r="D56" s="301"/>
      <c r="E56" s="302">
        <v>0</v>
      </c>
      <c r="F56" s="303"/>
      <c r="G56" s="303"/>
      <c r="H56" s="303">
        <v>46172000</v>
      </c>
      <c r="I56" s="303">
        <v>-42397533</v>
      </c>
      <c r="J56" s="303"/>
      <c r="K56" s="303"/>
      <c r="L56" s="302"/>
      <c r="M56" s="304"/>
      <c r="N56" s="305">
        <f t="shared" si="32"/>
        <v>107442399</v>
      </c>
      <c r="P56" s="305">
        <v>0</v>
      </c>
      <c r="Q56" s="349">
        <v>5900000</v>
      </c>
      <c r="R56" s="349">
        <v>38057394</v>
      </c>
      <c r="S56" s="334">
        <v>60762817</v>
      </c>
      <c r="T56" s="269"/>
      <c r="U56" s="257">
        <f t="shared" si="33"/>
        <v>104720211</v>
      </c>
      <c r="V56" s="333">
        <f t="shared" si="34"/>
        <v>2722188</v>
      </c>
      <c r="Y56" s="130"/>
      <c r="AB56" s="131"/>
      <c r="AC56" s="130"/>
    </row>
    <row r="57" spans="2:29" x14ac:dyDescent="0.25">
      <c r="B57" s="8" t="s">
        <v>23</v>
      </c>
      <c r="C57" s="296">
        <v>705300</v>
      </c>
      <c r="D57" s="301"/>
      <c r="E57" s="302">
        <v>262000</v>
      </c>
      <c r="F57" s="303"/>
      <c r="G57" s="303"/>
      <c r="H57" s="303"/>
      <c r="I57" s="303">
        <v>-132301</v>
      </c>
      <c r="J57" s="303"/>
      <c r="K57" s="303"/>
      <c r="L57" s="302"/>
      <c r="M57" s="304"/>
      <c r="N57" s="305">
        <f t="shared" si="32"/>
        <v>834999</v>
      </c>
      <c r="P57" s="305">
        <v>0</v>
      </c>
      <c r="Q57" s="349">
        <v>834999</v>
      </c>
      <c r="R57" s="349"/>
      <c r="S57" s="334">
        <v>0</v>
      </c>
      <c r="T57" s="269"/>
      <c r="U57" s="257">
        <f t="shared" si="33"/>
        <v>834999</v>
      </c>
      <c r="V57" s="333">
        <f t="shared" si="34"/>
        <v>0</v>
      </c>
      <c r="Y57" s="130"/>
      <c r="AB57" s="131"/>
      <c r="AC57" s="130"/>
    </row>
    <row r="58" spans="2:29" x14ac:dyDescent="0.25">
      <c r="B58" s="8" t="s">
        <v>24</v>
      </c>
      <c r="C58" s="296">
        <v>58458068</v>
      </c>
      <c r="D58" s="301"/>
      <c r="E58" s="302">
        <v>170117</v>
      </c>
      <c r="F58" s="303"/>
      <c r="G58" s="303"/>
      <c r="H58" s="303"/>
      <c r="I58" s="303">
        <v>-8811608</v>
      </c>
      <c r="J58" s="303"/>
      <c r="K58" s="303"/>
      <c r="L58" s="302"/>
      <c r="M58" s="304"/>
      <c r="N58" s="305">
        <f t="shared" si="32"/>
        <v>49816577</v>
      </c>
      <c r="P58" s="305">
        <v>11374548</v>
      </c>
      <c r="Q58" s="349">
        <v>13303960</v>
      </c>
      <c r="R58" s="349">
        <v>11911576</v>
      </c>
      <c r="S58" s="334">
        <v>10164855</v>
      </c>
      <c r="T58" s="269"/>
      <c r="U58" s="257">
        <f t="shared" si="33"/>
        <v>46754939</v>
      </c>
      <c r="V58" s="333">
        <f t="shared" si="34"/>
        <v>3061638</v>
      </c>
      <c r="Y58" s="130"/>
      <c r="Z58" s="130"/>
      <c r="AB58" s="131"/>
      <c r="AC58" s="130"/>
    </row>
    <row r="59" spans="2:29" x14ac:dyDescent="0.25">
      <c r="B59" s="8" t="s">
        <v>25</v>
      </c>
      <c r="C59" s="296">
        <v>7023000</v>
      </c>
      <c r="D59" s="301"/>
      <c r="E59" s="302">
        <v>9000</v>
      </c>
      <c r="F59" s="303"/>
      <c r="G59" s="303"/>
      <c r="H59" s="303"/>
      <c r="I59" s="303">
        <v>-1434997</v>
      </c>
      <c r="J59" s="303"/>
      <c r="K59" s="303"/>
      <c r="L59" s="302"/>
      <c r="M59" s="304"/>
      <c r="N59" s="305">
        <f t="shared" si="32"/>
        <v>5597003</v>
      </c>
      <c r="P59" s="305">
        <v>263252</v>
      </c>
      <c r="Q59" s="349">
        <v>986692</v>
      </c>
      <c r="R59" s="349">
        <v>1494402</v>
      </c>
      <c r="S59" s="334">
        <v>1845696</v>
      </c>
      <c r="T59" s="269"/>
      <c r="U59" s="257">
        <f t="shared" si="33"/>
        <v>4590042</v>
      </c>
      <c r="V59" s="333">
        <f t="shared" si="34"/>
        <v>1006961</v>
      </c>
      <c r="Y59" s="130"/>
      <c r="Z59" s="130"/>
      <c r="AB59" s="131"/>
      <c r="AC59" s="130"/>
    </row>
    <row r="60" spans="2:29" x14ac:dyDescent="0.25">
      <c r="B60" s="8" t="s">
        <v>26</v>
      </c>
      <c r="C60" s="296">
        <v>156696000</v>
      </c>
      <c r="D60" s="301"/>
      <c r="E60" s="302">
        <v>474000</v>
      </c>
      <c r="F60" s="303"/>
      <c r="G60" s="303"/>
      <c r="H60" s="303"/>
      <c r="I60" s="303">
        <v>-22515478</v>
      </c>
      <c r="J60" s="303"/>
      <c r="K60" s="303"/>
      <c r="L60" s="302"/>
      <c r="M60" s="304"/>
      <c r="N60" s="305">
        <f t="shared" si="32"/>
        <v>134654522</v>
      </c>
      <c r="P60" s="305">
        <v>30565663</v>
      </c>
      <c r="Q60" s="349">
        <v>35620031</v>
      </c>
      <c r="R60" s="349">
        <v>32112970</v>
      </c>
      <c r="S60" s="334">
        <v>27520004</v>
      </c>
      <c r="T60" s="269"/>
      <c r="U60" s="257">
        <f t="shared" si="33"/>
        <v>125818668</v>
      </c>
      <c r="V60" s="333">
        <f t="shared" si="34"/>
        <v>8835854</v>
      </c>
      <c r="Y60" s="130"/>
      <c r="AB60" s="131"/>
      <c r="AC60" s="130"/>
    </row>
    <row r="61" spans="2:29" x14ac:dyDescent="0.25">
      <c r="B61" s="8" t="s">
        <v>27</v>
      </c>
      <c r="C61" s="296">
        <v>29182000</v>
      </c>
      <c r="D61" s="301"/>
      <c r="E61" s="302">
        <v>83000</v>
      </c>
      <c r="F61" s="303"/>
      <c r="G61" s="303"/>
      <c r="H61" s="303"/>
      <c r="I61" s="303">
        <v>-4404400</v>
      </c>
      <c r="J61" s="303"/>
      <c r="K61" s="303"/>
      <c r="L61" s="302"/>
      <c r="M61" s="304"/>
      <c r="N61" s="305">
        <f t="shared" si="32"/>
        <v>24860600</v>
      </c>
      <c r="P61" s="305">
        <v>5459000</v>
      </c>
      <c r="Q61" s="349">
        <v>6413200</v>
      </c>
      <c r="R61" s="349">
        <v>5779300</v>
      </c>
      <c r="S61" s="334">
        <v>5652600</v>
      </c>
      <c r="T61" s="269"/>
      <c r="U61" s="257">
        <f t="shared" si="33"/>
        <v>23304100</v>
      </c>
      <c r="V61" s="333">
        <f t="shared" si="34"/>
        <v>1556500</v>
      </c>
      <c r="Y61" s="130"/>
      <c r="AB61" s="131"/>
      <c r="AC61" s="130"/>
    </row>
    <row r="62" spans="2:29" x14ac:dyDescent="0.25">
      <c r="B62" s="8" t="s">
        <v>28</v>
      </c>
      <c r="C62" s="296">
        <v>36462000</v>
      </c>
      <c r="D62" s="306"/>
      <c r="E62" s="307">
        <v>112000</v>
      </c>
      <c r="F62" s="308"/>
      <c r="G62" s="308"/>
      <c r="H62" s="308"/>
      <c r="I62" s="308">
        <v>-5504800</v>
      </c>
      <c r="J62" s="308"/>
      <c r="K62" s="308"/>
      <c r="L62" s="307"/>
      <c r="M62" s="309"/>
      <c r="N62" s="310">
        <f t="shared" si="32"/>
        <v>31069200</v>
      </c>
      <c r="P62" s="310">
        <v>6824900</v>
      </c>
      <c r="Q62" s="352">
        <v>8016900</v>
      </c>
      <c r="R62" s="352">
        <v>7224400</v>
      </c>
      <c r="S62" s="334">
        <v>7067300</v>
      </c>
      <c r="T62" s="269"/>
      <c r="U62" s="257">
        <f t="shared" si="33"/>
        <v>29133500</v>
      </c>
      <c r="V62" s="333">
        <f t="shared" si="34"/>
        <v>1935700</v>
      </c>
      <c r="Y62" s="130"/>
      <c r="AB62" s="131"/>
      <c r="AC62" s="130"/>
    </row>
    <row r="63" spans="2:29" x14ac:dyDescent="0.25">
      <c r="B63" s="6" t="s">
        <v>29</v>
      </c>
      <c r="C63" s="291">
        <f t="shared" ref="C63:K63" si="35">SUM(C64:C79)</f>
        <v>676943740</v>
      </c>
      <c r="D63" s="292">
        <f t="shared" si="35"/>
        <v>0</v>
      </c>
      <c r="E63" s="293">
        <f t="shared" si="35"/>
        <v>9084311</v>
      </c>
      <c r="F63" s="294">
        <f t="shared" si="35"/>
        <v>0</v>
      </c>
      <c r="G63" s="294">
        <f t="shared" si="35"/>
        <v>0</v>
      </c>
      <c r="H63" s="294">
        <f t="shared" si="35"/>
        <v>0</v>
      </c>
      <c r="I63" s="294">
        <f t="shared" si="35"/>
        <v>-325826537</v>
      </c>
      <c r="J63" s="294">
        <f t="shared" si="35"/>
        <v>0</v>
      </c>
      <c r="K63" s="294">
        <f t="shared" si="35"/>
        <v>0</v>
      </c>
      <c r="L63" s="293"/>
      <c r="M63" s="295"/>
      <c r="N63" s="280">
        <f>SUM(N64:N79)</f>
        <v>360201514</v>
      </c>
      <c r="P63" s="280">
        <f t="shared" ref="P63:T63" si="36">SUM(P64:P79)</f>
        <v>154410308</v>
      </c>
      <c r="Q63" s="346">
        <f t="shared" si="36"/>
        <v>50806038</v>
      </c>
      <c r="R63" s="346">
        <f t="shared" si="36"/>
        <v>40203882</v>
      </c>
      <c r="S63" s="347">
        <f t="shared" si="36"/>
        <v>45900451</v>
      </c>
      <c r="T63" s="280">
        <f t="shared" si="36"/>
        <v>0</v>
      </c>
      <c r="U63" s="280">
        <f>SUM(U64:U79)</f>
        <v>291320679</v>
      </c>
      <c r="V63" s="340">
        <f>SUM(V64:V79)</f>
        <v>68880835</v>
      </c>
      <c r="Y63" s="130"/>
      <c r="AB63" s="131"/>
      <c r="AC63" s="130"/>
    </row>
    <row r="64" spans="2:29" x14ac:dyDescent="0.25">
      <c r="B64" s="11" t="s">
        <v>64</v>
      </c>
      <c r="C64" s="252">
        <v>46795725</v>
      </c>
      <c r="D64" s="270"/>
      <c r="E64" s="271">
        <v>6516569</v>
      </c>
      <c r="F64" s="272"/>
      <c r="G64" s="272"/>
      <c r="H64" s="272"/>
      <c r="I64" s="272">
        <v>-16323681</v>
      </c>
      <c r="J64" s="272"/>
      <c r="K64" s="272"/>
      <c r="L64" s="271"/>
      <c r="M64" s="281"/>
      <c r="N64" s="274">
        <f t="shared" ref="N64:N80" si="37">SUM(C64:M64)</f>
        <v>36988613</v>
      </c>
      <c r="P64" s="274">
        <v>25482440</v>
      </c>
      <c r="Q64" s="338">
        <v>10172979</v>
      </c>
      <c r="R64" s="338">
        <v>342833</v>
      </c>
      <c r="S64" s="334">
        <v>230531</v>
      </c>
      <c r="T64" s="269"/>
      <c r="U64" s="257">
        <f>SUM(P64:T64)</f>
        <v>36228783</v>
      </c>
      <c r="V64" s="333">
        <f>+N64-U64</f>
        <v>759830</v>
      </c>
      <c r="Y64" s="130"/>
      <c r="AB64" s="131"/>
      <c r="AC64" s="130"/>
    </row>
    <row r="65" spans="2:29" x14ac:dyDescent="0.25">
      <c r="B65" s="11" t="s">
        <v>69</v>
      </c>
      <c r="C65" s="252">
        <v>60500000</v>
      </c>
      <c r="D65" s="270"/>
      <c r="E65" s="271">
        <v>0</v>
      </c>
      <c r="F65" s="272"/>
      <c r="G65" s="272"/>
      <c r="H65" s="272"/>
      <c r="I65" s="272">
        <v>-1959379</v>
      </c>
      <c r="J65" s="272"/>
      <c r="K65" s="272"/>
      <c r="L65" s="271"/>
      <c r="M65" s="281"/>
      <c r="N65" s="274">
        <f t="shared" si="37"/>
        <v>58540621</v>
      </c>
      <c r="P65" s="274">
        <v>28040621</v>
      </c>
      <c r="Q65" s="338">
        <v>0</v>
      </c>
      <c r="R65" s="338">
        <v>4857550</v>
      </c>
      <c r="S65" s="334">
        <v>9102350</v>
      </c>
      <c r="T65" s="269"/>
      <c r="U65" s="257">
        <f t="shared" ref="U65:U80" si="38">SUM(P65:T65)</f>
        <v>42000521</v>
      </c>
      <c r="V65" s="333">
        <f t="shared" ref="V65:V80" si="39">+N65-U65</f>
        <v>16540100</v>
      </c>
      <c r="Y65" s="130"/>
      <c r="AB65" s="131"/>
      <c r="AC65" s="130"/>
    </row>
    <row r="66" spans="2:29" x14ac:dyDescent="0.25">
      <c r="B66" s="11" t="s">
        <v>30</v>
      </c>
      <c r="C66" s="252">
        <v>0</v>
      </c>
      <c r="D66" s="253"/>
      <c r="E66" s="254">
        <v>0</v>
      </c>
      <c r="F66" s="255"/>
      <c r="G66" s="255"/>
      <c r="H66" s="255"/>
      <c r="I66" s="255">
        <v>0</v>
      </c>
      <c r="J66" s="255"/>
      <c r="K66" s="255"/>
      <c r="L66" s="254"/>
      <c r="M66" s="256"/>
      <c r="N66" s="269">
        <f t="shared" si="37"/>
        <v>0</v>
      </c>
      <c r="P66" s="269"/>
      <c r="Q66" s="331"/>
      <c r="R66" s="331"/>
      <c r="S66" s="334"/>
      <c r="T66" s="269"/>
      <c r="U66" s="257">
        <f t="shared" si="38"/>
        <v>0</v>
      </c>
      <c r="V66" s="333">
        <f t="shared" si="39"/>
        <v>0</v>
      </c>
      <c r="Y66" s="130"/>
      <c r="AB66" s="131"/>
      <c r="AC66" s="130"/>
    </row>
    <row r="67" spans="2:29" x14ac:dyDescent="0.25">
      <c r="B67" s="11" t="s">
        <v>31</v>
      </c>
      <c r="C67" s="252">
        <v>6721000</v>
      </c>
      <c r="D67" s="253"/>
      <c r="E67" s="254">
        <v>1925000</v>
      </c>
      <c r="F67" s="255"/>
      <c r="G67" s="255"/>
      <c r="H67" s="255"/>
      <c r="I67" s="255">
        <v>-105744</v>
      </c>
      <c r="J67" s="255"/>
      <c r="K67" s="255"/>
      <c r="L67" s="254"/>
      <c r="M67" s="256"/>
      <c r="N67" s="269">
        <f t="shared" si="37"/>
        <v>8540256</v>
      </c>
      <c r="P67" s="269">
        <v>2052253</v>
      </c>
      <c r="Q67" s="331">
        <v>1750503</v>
      </c>
      <c r="R67" s="331">
        <v>1860468</v>
      </c>
      <c r="S67" s="334">
        <v>2080399</v>
      </c>
      <c r="T67" s="269">
        <v>0</v>
      </c>
      <c r="U67" s="257">
        <f t="shared" si="38"/>
        <v>7743623</v>
      </c>
      <c r="V67" s="333">
        <f t="shared" si="39"/>
        <v>796633</v>
      </c>
      <c r="Y67" s="130"/>
      <c r="AB67" s="131"/>
      <c r="AC67" s="130"/>
    </row>
    <row r="68" spans="2:29" x14ac:dyDescent="0.25">
      <c r="B68" s="11" t="s">
        <v>32</v>
      </c>
      <c r="C68" s="252">
        <v>2732400</v>
      </c>
      <c r="D68" s="253"/>
      <c r="E68" s="254">
        <v>7920</v>
      </c>
      <c r="F68" s="255"/>
      <c r="G68" s="255"/>
      <c r="H68" s="255"/>
      <c r="I68" s="255">
        <v>0</v>
      </c>
      <c r="J68" s="255"/>
      <c r="K68" s="255"/>
      <c r="L68" s="254"/>
      <c r="M68" s="256"/>
      <c r="N68" s="269">
        <f t="shared" si="37"/>
        <v>2740320</v>
      </c>
      <c r="P68" s="269">
        <v>683100</v>
      </c>
      <c r="Q68" s="331">
        <v>274900</v>
      </c>
      <c r="R68" s="331">
        <v>438000</v>
      </c>
      <c r="S68" s="334">
        <v>1090000</v>
      </c>
      <c r="T68" s="269"/>
      <c r="U68" s="257">
        <f t="shared" si="38"/>
        <v>2486000</v>
      </c>
      <c r="V68" s="333">
        <f t="shared" si="39"/>
        <v>254320</v>
      </c>
      <c r="Y68" s="130"/>
      <c r="AB68" s="131"/>
      <c r="AC68" s="130"/>
    </row>
    <row r="69" spans="2:29" x14ac:dyDescent="0.25">
      <c r="B69" s="11" t="s">
        <v>33</v>
      </c>
      <c r="C69" s="252">
        <v>180075881</v>
      </c>
      <c r="D69" s="253"/>
      <c r="E69" s="254">
        <v>358932</v>
      </c>
      <c r="F69" s="255"/>
      <c r="G69" s="255"/>
      <c r="H69" s="255"/>
      <c r="I69" s="255">
        <v>-68534862</v>
      </c>
      <c r="J69" s="255"/>
      <c r="K69" s="255"/>
      <c r="L69" s="254"/>
      <c r="M69" s="256"/>
      <c r="N69" s="269">
        <f t="shared" si="37"/>
        <v>111899951</v>
      </c>
      <c r="P69" s="269">
        <v>21976523</v>
      </c>
      <c r="Q69" s="331">
        <v>23839756</v>
      </c>
      <c r="R69" s="331">
        <v>27787962</v>
      </c>
      <c r="S69" s="334">
        <v>22979232</v>
      </c>
      <c r="T69" s="269"/>
      <c r="U69" s="257">
        <f t="shared" si="38"/>
        <v>96583473</v>
      </c>
      <c r="V69" s="333">
        <f t="shared" si="39"/>
        <v>15316478</v>
      </c>
      <c r="Y69" s="130"/>
      <c r="AB69" s="131"/>
      <c r="AC69" s="130"/>
    </row>
    <row r="70" spans="2:29" x14ac:dyDescent="0.25">
      <c r="B70" s="11" t="s">
        <v>34</v>
      </c>
      <c r="C70" s="252">
        <v>273692798</v>
      </c>
      <c r="D70" s="253"/>
      <c r="E70" s="254">
        <v>262594</v>
      </c>
      <c r="F70" s="255"/>
      <c r="G70" s="255"/>
      <c r="H70" s="255"/>
      <c r="I70" s="255">
        <v>-187570302</v>
      </c>
      <c r="J70" s="255"/>
      <c r="K70" s="255"/>
      <c r="L70" s="254"/>
      <c r="M70" s="256"/>
      <c r="N70" s="269">
        <f t="shared" si="37"/>
        <v>86385090</v>
      </c>
      <c r="P70" s="269">
        <v>56177190</v>
      </c>
      <c r="Q70" s="331">
        <v>14767900</v>
      </c>
      <c r="R70" s="331">
        <v>800983</v>
      </c>
      <c r="S70" s="334">
        <v>1635390</v>
      </c>
      <c r="T70" s="269"/>
      <c r="U70" s="257">
        <f t="shared" si="38"/>
        <v>73381463</v>
      </c>
      <c r="V70" s="333">
        <f t="shared" si="39"/>
        <v>13003627</v>
      </c>
      <c r="Y70" s="130"/>
      <c r="AB70" s="131"/>
      <c r="AC70" s="130"/>
    </row>
    <row r="71" spans="2:29" x14ac:dyDescent="0.25">
      <c r="B71" s="11" t="s">
        <v>35</v>
      </c>
      <c r="C71" s="252">
        <v>24140000</v>
      </c>
      <c r="D71" s="253"/>
      <c r="E71" s="254">
        <v>12000</v>
      </c>
      <c r="F71" s="255"/>
      <c r="G71" s="255"/>
      <c r="H71" s="255"/>
      <c r="I71" s="255">
        <v>0</v>
      </c>
      <c r="J71" s="255"/>
      <c r="K71" s="255"/>
      <c r="L71" s="254"/>
      <c r="M71" s="256"/>
      <c r="N71" s="269">
        <f t="shared" si="37"/>
        <v>24152000</v>
      </c>
      <c r="P71" s="269"/>
      <c r="Q71" s="331"/>
      <c r="R71" s="331"/>
      <c r="S71" s="334">
        <v>3950000</v>
      </c>
      <c r="T71" s="269"/>
      <c r="U71" s="257">
        <f t="shared" si="38"/>
        <v>3950000</v>
      </c>
      <c r="V71" s="333">
        <f t="shared" si="39"/>
        <v>20202000</v>
      </c>
      <c r="X71" s="359"/>
      <c r="Y71" s="130"/>
      <c r="AB71" s="131"/>
      <c r="AC71" s="130"/>
    </row>
    <row r="72" spans="2:29" x14ac:dyDescent="0.25">
      <c r="B72" s="11" t="s">
        <v>36</v>
      </c>
      <c r="C72" s="252">
        <v>68704000</v>
      </c>
      <c r="D72" s="253"/>
      <c r="E72" s="254">
        <v>0</v>
      </c>
      <c r="F72" s="255"/>
      <c r="G72" s="255"/>
      <c r="H72" s="255"/>
      <c r="I72" s="255">
        <v>-44982067</v>
      </c>
      <c r="J72" s="255"/>
      <c r="K72" s="255"/>
      <c r="L72" s="254"/>
      <c r="M72" s="256"/>
      <c r="N72" s="269">
        <f t="shared" si="37"/>
        <v>23721933</v>
      </c>
      <c r="P72" s="269">
        <v>19326926</v>
      </c>
      <c r="Q72" s="331">
        <v>0</v>
      </c>
      <c r="R72" s="331">
        <v>1726086</v>
      </c>
      <c r="S72" s="341">
        <v>1351881</v>
      </c>
      <c r="T72" s="269"/>
      <c r="U72" s="257">
        <f t="shared" si="38"/>
        <v>22404893</v>
      </c>
      <c r="V72" s="333">
        <f t="shared" si="39"/>
        <v>1317040</v>
      </c>
      <c r="Y72" s="130"/>
      <c r="AB72" s="131"/>
      <c r="AC72" s="130"/>
    </row>
    <row r="73" spans="2:29" x14ac:dyDescent="0.25">
      <c r="B73" s="11" t="s">
        <v>65</v>
      </c>
      <c r="C73" s="252">
        <v>1724816</v>
      </c>
      <c r="D73" s="253"/>
      <c r="E73" s="254">
        <v>0</v>
      </c>
      <c r="F73" s="255"/>
      <c r="G73" s="255"/>
      <c r="H73" s="255"/>
      <c r="I73" s="255">
        <v>-20002</v>
      </c>
      <c r="J73" s="255"/>
      <c r="K73" s="255"/>
      <c r="L73" s="254"/>
      <c r="M73" s="256"/>
      <c r="N73" s="269">
        <f t="shared" si="37"/>
        <v>1704814</v>
      </c>
      <c r="P73" s="269">
        <v>501452</v>
      </c>
      <c r="Q73" s="331">
        <v>0</v>
      </c>
      <c r="R73" s="331">
        <v>600000</v>
      </c>
      <c r="S73" s="334">
        <v>572666</v>
      </c>
      <c r="T73" s="269"/>
      <c r="U73" s="257">
        <f t="shared" si="38"/>
        <v>1674118</v>
      </c>
      <c r="V73" s="333">
        <f t="shared" si="39"/>
        <v>30696</v>
      </c>
      <c r="Y73" s="130"/>
      <c r="AB73" s="131"/>
      <c r="AC73" s="130"/>
    </row>
    <row r="74" spans="2:29" x14ac:dyDescent="0.25">
      <c r="B74" s="11" t="s">
        <v>37</v>
      </c>
      <c r="C74" s="252">
        <v>11857120</v>
      </c>
      <c r="D74" s="253"/>
      <c r="E74" s="254">
        <v>1296</v>
      </c>
      <c r="F74" s="255"/>
      <c r="G74" s="255"/>
      <c r="H74" s="255"/>
      <c r="I74" s="255">
        <v>-6330500</v>
      </c>
      <c r="J74" s="255"/>
      <c r="K74" s="255"/>
      <c r="L74" s="254"/>
      <c r="M74" s="256"/>
      <c r="N74" s="269">
        <f t="shared" si="37"/>
        <v>5527916</v>
      </c>
      <c r="P74" s="269">
        <v>169803</v>
      </c>
      <c r="Q74" s="331">
        <v>0</v>
      </c>
      <c r="R74" s="331">
        <v>1790000</v>
      </c>
      <c r="S74" s="334">
        <v>2908002</v>
      </c>
      <c r="T74" s="269"/>
      <c r="U74" s="257">
        <f t="shared" si="38"/>
        <v>4867805</v>
      </c>
      <c r="V74" s="333">
        <f t="shared" si="39"/>
        <v>660111</v>
      </c>
      <c r="Y74" s="130"/>
      <c r="AB74" s="131"/>
      <c r="AC74" s="130"/>
    </row>
    <row r="75" spans="2:29" x14ac:dyDescent="0.25">
      <c r="B75" s="11" t="s">
        <v>38</v>
      </c>
      <c r="C75" s="252">
        <v>0</v>
      </c>
      <c r="D75" s="253"/>
      <c r="E75" s="254">
        <v>0</v>
      </c>
      <c r="F75" s="255"/>
      <c r="G75" s="255"/>
      <c r="H75" s="255"/>
      <c r="I75" s="255">
        <v>0</v>
      </c>
      <c r="J75" s="255"/>
      <c r="K75" s="255"/>
      <c r="L75" s="254"/>
      <c r="M75" s="256"/>
      <c r="N75" s="269">
        <f t="shared" si="37"/>
        <v>0</v>
      </c>
      <c r="P75" s="269"/>
      <c r="Q75" s="331"/>
      <c r="R75" s="331"/>
      <c r="S75" s="334"/>
      <c r="T75" s="269"/>
      <c r="U75" s="257">
        <f t="shared" si="38"/>
        <v>0</v>
      </c>
      <c r="V75" s="333">
        <f t="shared" si="39"/>
        <v>0</v>
      </c>
      <c r="Y75" s="130"/>
      <c r="AB75" s="131"/>
      <c r="AC75" s="130"/>
    </row>
    <row r="76" spans="2:29" x14ac:dyDescent="0.25">
      <c r="B76" s="11" t="s">
        <v>39</v>
      </c>
      <c r="C76" s="252">
        <v>0</v>
      </c>
      <c r="D76" s="253"/>
      <c r="E76" s="254">
        <v>0</v>
      </c>
      <c r="F76" s="255"/>
      <c r="G76" s="255"/>
      <c r="H76" s="255"/>
      <c r="I76" s="255">
        <v>0</v>
      </c>
      <c r="J76" s="255"/>
      <c r="K76" s="255"/>
      <c r="L76" s="254"/>
      <c r="M76" s="256"/>
      <c r="N76" s="269">
        <f t="shared" si="37"/>
        <v>0</v>
      </c>
      <c r="P76" s="269"/>
      <c r="Q76" s="331"/>
      <c r="R76" s="331"/>
      <c r="S76" s="334"/>
      <c r="T76" s="269"/>
      <c r="U76" s="257">
        <f t="shared" si="38"/>
        <v>0</v>
      </c>
      <c r="V76" s="333">
        <f t="shared" si="39"/>
        <v>0</v>
      </c>
      <c r="Y76" s="130"/>
      <c r="AB76" s="131"/>
      <c r="AC76" s="130"/>
    </row>
    <row r="77" spans="2:29" x14ac:dyDescent="0.25">
      <c r="B77" s="11" t="s">
        <v>43</v>
      </c>
      <c r="C77" s="252">
        <v>0</v>
      </c>
      <c r="D77" s="253"/>
      <c r="E77" s="254">
        <v>0</v>
      </c>
      <c r="F77" s="255"/>
      <c r="G77" s="255"/>
      <c r="H77" s="255"/>
      <c r="I77" s="255">
        <v>0</v>
      </c>
      <c r="J77" s="255"/>
      <c r="K77" s="255"/>
      <c r="L77" s="254"/>
      <c r="M77" s="256"/>
      <c r="N77" s="269">
        <f t="shared" si="37"/>
        <v>0</v>
      </c>
      <c r="P77" s="269"/>
      <c r="Q77" s="331"/>
      <c r="R77" s="331"/>
      <c r="S77" s="334"/>
      <c r="T77" s="269"/>
      <c r="U77" s="257">
        <f t="shared" si="38"/>
        <v>0</v>
      </c>
      <c r="V77" s="333">
        <f t="shared" si="39"/>
        <v>0</v>
      </c>
      <c r="Y77" s="130"/>
      <c r="AB77" s="131"/>
      <c r="AC77" s="130"/>
    </row>
    <row r="78" spans="2:29" ht="31.5" x14ac:dyDescent="0.25">
      <c r="B78" s="11" t="s">
        <v>66</v>
      </c>
      <c r="C78" s="252">
        <v>0</v>
      </c>
      <c r="D78" s="253"/>
      <c r="E78" s="254">
        <v>0</v>
      </c>
      <c r="F78" s="255"/>
      <c r="G78" s="255"/>
      <c r="H78" s="255"/>
      <c r="I78" s="255">
        <v>0</v>
      </c>
      <c r="J78" s="255"/>
      <c r="K78" s="255"/>
      <c r="L78" s="254"/>
      <c r="M78" s="256"/>
      <c r="N78" s="269">
        <f t="shared" si="37"/>
        <v>0</v>
      </c>
      <c r="P78" s="269"/>
      <c r="Q78" s="331"/>
      <c r="R78" s="331"/>
      <c r="S78" s="334"/>
      <c r="T78" s="269"/>
      <c r="U78" s="257">
        <f>SUM(P78:T78)</f>
        <v>0</v>
      </c>
      <c r="V78" s="333">
        <f t="shared" si="39"/>
        <v>0</v>
      </c>
      <c r="Y78" s="130"/>
      <c r="AB78" s="131"/>
      <c r="AC78" s="130"/>
    </row>
    <row r="79" spans="2:29" x14ac:dyDescent="0.25">
      <c r="B79" s="11" t="s">
        <v>40</v>
      </c>
      <c r="C79" s="252">
        <v>0</v>
      </c>
      <c r="D79" s="275"/>
      <c r="E79" s="276">
        <v>0</v>
      </c>
      <c r="F79" s="277"/>
      <c r="G79" s="277"/>
      <c r="H79" s="277"/>
      <c r="I79" s="277">
        <v>0</v>
      </c>
      <c r="J79" s="277"/>
      <c r="K79" s="277"/>
      <c r="L79" s="276"/>
      <c r="M79" s="278"/>
      <c r="N79" s="279">
        <f t="shared" si="37"/>
        <v>0</v>
      </c>
      <c r="P79" s="279"/>
      <c r="Q79" s="339"/>
      <c r="R79" s="339"/>
      <c r="S79" s="334"/>
      <c r="T79" s="269"/>
      <c r="U79" s="257">
        <f t="shared" si="38"/>
        <v>0</v>
      </c>
      <c r="V79" s="333">
        <f t="shared" si="39"/>
        <v>0</v>
      </c>
      <c r="Y79" s="130"/>
      <c r="AB79" s="131"/>
      <c r="AC79" s="130"/>
    </row>
    <row r="80" spans="2:29" x14ac:dyDescent="0.25">
      <c r="B80" s="11" t="s">
        <v>41</v>
      </c>
      <c r="C80" s="252">
        <v>0</v>
      </c>
      <c r="D80" s="275"/>
      <c r="E80" s="276">
        <v>0</v>
      </c>
      <c r="F80" s="277"/>
      <c r="G80" s="277"/>
      <c r="H80" s="277"/>
      <c r="I80" s="277">
        <v>0</v>
      </c>
      <c r="J80" s="277"/>
      <c r="K80" s="277"/>
      <c r="L80" s="276"/>
      <c r="M80" s="278"/>
      <c r="N80" s="279">
        <f t="shared" si="37"/>
        <v>0</v>
      </c>
      <c r="P80" s="279"/>
      <c r="Q80" s="339"/>
      <c r="R80" s="339"/>
      <c r="S80" s="334"/>
      <c r="T80" s="269"/>
      <c r="U80" s="257">
        <f t="shared" si="38"/>
        <v>0</v>
      </c>
      <c r="V80" s="333">
        <f t="shared" si="39"/>
        <v>0</v>
      </c>
      <c r="Y80" s="130"/>
      <c r="AB80" s="131"/>
      <c r="AC80" s="130"/>
    </row>
    <row r="81" spans="2:29" x14ac:dyDescent="0.25">
      <c r="B81" s="6" t="s">
        <v>44</v>
      </c>
      <c r="C81" s="291">
        <f t="shared" ref="C81:N81" si="40">+C82+C95+C99</f>
        <v>1201158848</v>
      </c>
      <c r="D81" s="292">
        <f t="shared" si="40"/>
        <v>0</v>
      </c>
      <c r="E81" s="293">
        <f t="shared" si="40"/>
        <v>24024000</v>
      </c>
      <c r="F81" s="294">
        <f t="shared" si="40"/>
        <v>700650000</v>
      </c>
      <c r="G81" s="294">
        <f t="shared" si="40"/>
        <v>-150000000</v>
      </c>
      <c r="H81" s="294">
        <f t="shared" si="40"/>
        <v>0</v>
      </c>
      <c r="I81" s="294">
        <f t="shared" si="40"/>
        <v>-100873874</v>
      </c>
      <c r="J81" s="294">
        <f t="shared" si="40"/>
        <v>0</v>
      </c>
      <c r="K81" s="294">
        <f t="shared" si="40"/>
        <v>0</v>
      </c>
      <c r="L81" s="293"/>
      <c r="M81" s="295"/>
      <c r="N81" s="280">
        <f t="shared" si="40"/>
        <v>1674958974</v>
      </c>
      <c r="P81" s="280">
        <f t="shared" ref="P81:V81" si="41">+P82+P95+P99</f>
        <v>115050000</v>
      </c>
      <c r="Q81" s="346">
        <f t="shared" si="41"/>
        <v>283844817</v>
      </c>
      <c r="R81" s="346">
        <f t="shared" si="41"/>
        <v>336604882</v>
      </c>
      <c r="S81" s="347">
        <f t="shared" si="41"/>
        <v>869634421</v>
      </c>
      <c r="T81" s="280">
        <f t="shared" si="41"/>
        <v>0</v>
      </c>
      <c r="U81" s="280">
        <f t="shared" si="41"/>
        <v>1605134120</v>
      </c>
      <c r="V81" s="340">
        <f t="shared" si="41"/>
        <v>69824854</v>
      </c>
      <c r="Y81" s="130"/>
      <c r="AB81" s="131"/>
      <c r="AC81" s="130"/>
    </row>
    <row r="82" spans="2:29" x14ac:dyDescent="0.25">
      <c r="B82" s="12" t="s">
        <v>45</v>
      </c>
      <c r="C82" s="291">
        <f>SUM(C83:C94)</f>
        <v>361158848</v>
      </c>
      <c r="D82" s="292">
        <f t="shared" ref="D82:N82" si="42">SUM(D83:D94)</f>
        <v>0</v>
      </c>
      <c r="E82" s="293">
        <f t="shared" si="42"/>
        <v>24024000</v>
      </c>
      <c r="F82" s="294">
        <f t="shared" si="42"/>
        <v>0</v>
      </c>
      <c r="G82" s="294">
        <f t="shared" si="42"/>
        <v>0</v>
      </c>
      <c r="H82" s="294">
        <f t="shared" si="42"/>
        <v>0</v>
      </c>
      <c r="I82" s="294">
        <f t="shared" si="42"/>
        <v>-44091856</v>
      </c>
      <c r="J82" s="294">
        <f t="shared" si="42"/>
        <v>0</v>
      </c>
      <c r="K82" s="294">
        <f t="shared" si="42"/>
        <v>0</v>
      </c>
      <c r="L82" s="293"/>
      <c r="M82" s="295"/>
      <c r="N82" s="280">
        <f t="shared" si="42"/>
        <v>341090992</v>
      </c>
      <c r="P82" s="280">
        <f t="shared" ref="P82:T82" si="43">SUM(P83:P94)</f>
        <v>115050000</v>
      </c>
      <c r="Q82" s="280">
        <f t="shared" si="43"/>
        <v>79844817</v>
      </c>
      <c r="R82" s="280">
        <f t="shared" si="43"/>
        <v>52460981</v>
      </c>
      <c r="S82" s="280">
        <f t="shared" si="43"/>
        <v>24567023</v>
      </c>
      <c r="T82" s="280">
        <f t="shared" si="43"/>
        <v>0</v>
      </c>
      <c r="U82" s="280">
        <f>SUM(U83:U94)</f>
        <v>271922821</v>
      </c>
      <c r="V82" s="340">
        <f>SUM(V83:V94)</f>
        <v>69168171</v>
      </c>
      <c r="Y82" s="130"/>
      <c r="AB82" s="131"/>
      <c r="AC82" s="130"/>
    </row>
    <row r="83" spans="2:29" x14ac:dyDescent="0.25">
      <c r="B83" s="7" t="s">
        <v>112</v>
      </c>
      <c r="C83" s="252">
        <v>84700000</v>
      </c>
      <c r="D83" s="270"/>
      <c r="E83" s="271">
        <v>0</v>
      </c>
      <c r="F83" s="272"/>
      <c r="G83" s="272"/>
      <c r="H83" s="272"/>
      <c r="I83" s="272">
        <v>0</v>
      </c>
      <c r="J83" s="272"/>
      <c r="K83" s="272"/>
      <c r="L83" s="271"/>
      <c r="M83" s="281"/>
      <c r="N83" s="274">
        <f t="shared" ref="N83:N94" si="44">SUM(C83:M83)</f>
        <v>84700000</v>
      </c>
      <c r="P83" s="274">
        <v>70050000</v>
      </c>
      <c r="Q83" s="338">
        <v>4870000</v>
      </c>
      <c r="R83" s="338">
        <v>8400000</v>
      </c>
      <c r="S83" s="334"/>
      <c r="T83" s="269"/>
      <c r="U83" s="257">
        <f t="shared" ref="U83:U94" si="45">SUM(P83:T83)</f>
        <v>83320000</v>
      </c>
      <c r="V83" s="333">
        <f>+N83-U83</f>
        <v>1380000</v>
      </c>
      <c r="Y83" s="130"/>
      <c r="AB83" s="131"/>
      <c r="AC83" s="130"/>
    </row>
    <row r="84" spans="2:29" x14ac:dyDescent="0.25">
      <c r="B84" s="7" t="s">
        <v>71</v>
      </c>
      <c r="C84" s="252">
        <v>16920000</v>
      </c>
      <c r="D84" s="253"/>
      <c r="E84" s="254">
        <v>0</v>
      </c>
      <c r="F84" s="255"/>
      <c r="G84" s="255"/>
      <c r="H84" s="255"/>
      <c r="I84" s="255">
        <v>-133008</v>
      </c>
      <c r="J84" s="255"/>
      <c r="K84" s="255"/>
      <c r="L84" s="254"/>
      <c r="M84" s="256"/>
      <c r="N84" s="269">
        <f t="shared" si="44"/>
        <v>16786992</v>
      </c>
      <c r="P84" s="269"/>
      <c r="Q84" s="331">
        <v>5986992</v>
      </c>
      <c r="R84" s="331">
        <v>3076500</v>
      </c>
      <c r="S84" s="334">
        <v>0</v>
      </c>
      <c r="T84" s="269"/>
      <c r="U84" s="257">
        <f t="shared" si="45"/>
        <v>9063492</v>
      </c>
      <c r="V84" s="333">
        <f>+N84-U84</f>
        <v>7723500</v>
      </c>
      <c r="X84" s="359"/>
      <c r="Y84" s="130"/>
      <c r="AB84" s="131"/>
      <c r="AC84" s="130"/>
    </row>
    <row r="85" spans="2:29" x14ac:dyDescent="0.25">
      <c r="B85" s="7" t="s">
        <v>72</v>
      </c>
      <c r="C85" s="252">
        <v>120800000</v>
      </c>
      <c r="D85" s="253"/>
      <c r="E85" s="254">
        <v>0</v>
      </c>
      <c r="F85" s="255"/>
      <c r="G85" s="255"/>
      <c r="H85" s="255"/>
      <c r="I85" s="255">
        <v>-24800000</v>
      </c>
      <c r="J85" s="255"/>
      <c r="K85" s="255"/>
      <c r="L85" s="254"/>
      <c r="M85" s="256"/>
      <c r="N85" s="269">
        <f t="shared" si="44"/>
        <v>96000000</v>
      </c>
      <c r="P85" s="269">
        <v>45000000</v>
      </c>
      <c r="Q85" s="331">
        <v>45000000</v>
      </c>
      <c r="R85" s="331">
        <v>3202800</v>
      </c>
      <c r="S85" s="334">
        <v>0</v>
      </c>
      <c r="T85" s="269"/>
      <c r="U85" s="257">
        <f t="shared" si="45"/>
        <v>93202800</v>
      </c>
      <c r="V85" s="333">
        <f>+N85-U85</f>
        <v>2797200</v>
      </c>
      <c r="Y85" s="130"/>
      <c r="AB85" s="131"/>
      <c r="AC85" s="130"/>
    </row>
    <row r="86" spans="2:29" x14ac:dyDescent="0.25">
      <c r="B86" s="7" t="s">
        <v>113</v>
      </c>
      <c r="C86" s="252">
        <v>35000000</v>
      </c>
      <c r="D86" s="253"/>
      <c r="E86" s="254">
        <v>0</v>
      </c>
      <c r="F86" s="255"/>
      <c r="G86" s="255"/>
      <c r="H86" s="255"/>
      <c r="I86" s="255">
        <v>0</v>
      </c>
      <c r="J86" s="255"/>
      <c r="K86" s="255"/>
      <c r="L86" s="254"/>
      <c r="M86" s="256"/>
      <c r="N86" s="269">
        <f t="shared" si="44"/>
        <v>35000000</v>
      </c>
      <c r="P86" s="269"/>
      <c r="Q86" s="331"/>
      <c r="R86" s="331">
        <v>17482500</v>
      </c>
      <c r="S86" s="334">
        <v>17482500</v>
      </c>
      <c r="T86" s="269"/>
      <c r="U86" s="257">
        <f t="shared" si="45"/>
        <v>34965000</v>
      </c>
      <c r="V86" s="333">
        <f t="shared" ref="V86:V94" si="46">+N86-U86</f>
        <v>35000</v>
      </c>
      <c r="Y86" s="130"/>
      <c r="AB86" s="131"/>
      <c r="AC86" s="130"/>
    </row>
    <row r="87" spans="2:29" x14ac:dyDescent="0.25">
      <c r="B87" s="7" t="s">
        <v>74</v>
      </c>
      <c r="C87" s="252">
        <v>8280000</v>
      </c>
      <c r="D87" s="253"/>
      <c r="E87" s="254">
        <v>24000</v>
      </c>
      <c r="F87" s="255"/>
      <c r="G87" s="255"/>
      <c r="H87" s="255"/>
      <c r="I87" s="255">
        <v>0</v>
      </c>
      <c r="J87" s="255"/>
      <c r="K87" s="255"/>
      <c r="L87" s="254"/>
      <c r="M87" s="256"/>
      <c r="N87" s="269">
        <f t="shared" si="44"/>
        <v>8304000</v>
      </c>
      <c r="P87" s="269"/>
      <c r="Q87" s="331"/>
      <c r="R87" s="331">
        <v>4000000</v>
      </c>
      <c r="S87" s="334"/>
      <c r="T87" s="269"/>
      <c r="U87" s="257">
        <f t="shared" si="45"/>
        <v>4000000</v>
      </c>
      <c r="V87" s="333">
        <f t="shared" si="46"/>
        <v>4304000</v>
      </c>
      <c r="X87" s="359"/>
      <c r="Y87" s="130"/>
      <c r="AB87" s="131"/>
      <c r="AC87" s="130"/>
    </row>
    <row r="88" spans="2:29" x14ac:dyDescent="0.25">
      <c r="B88" s="7" t="s">
        <v>75</v>
      </c>
      <c r="C88" s="252">
        <v>10000000</v>
      </c>
      <c r="D88" s="253"/>
      <c r="E88" s="254">
        <v>0</v>
      </c>
      <c r="F88" s="255"/>
      <c r="G88" s="255"/>
      <c r="H88" s="255"/>
      <c r="I88" s="255">
        <v>0</v>
      </c>
      <c r="J88" s="255"/>
      <c r="K88" s="255"/>
      <c r="L88" s="254"/>
      <c r="M88" s="256"/>
      <c r="N88" s="269">
        <f t="shared" si="44"/>
        <v>10000000</v>
      </c>
      <c r="P88" s="269"/>
      <c r="Q88" s="331"/>
      <c r="R88" s="331">
        <v>3915677</v>
      </c>
      <c r="S88" s="334">
        <v>4151246</v>
      </c>
      <c r="T88" s="269"/>
      <c r="U88" s="257">
        <f t="shared" si="45"/>
        <v>8066923</v>
      </c>
      <c r="V88" s="333">
        <f t="shared" si="46"/>
        <v>1933077</v>
      </c>
      <c r="Y88" s="130"/>
      <c r="AB88" s="131"/>
      <c r="AC88" s="130"/>
    </row>
    <row r="89" spans="2:29" x14ac:dyDescent="0.25">
      <c r="B89" s="7" t="s">
        <v>76</v>
      </c>
      <c r="C89" s="252">
        <v>21000000</v>
      </c>
      <c r="D89" s="253"/>
      <c r="E89" s="254">
        <v>0</v>
      </c>
      <c r="F89" s="255"/>
      <c r="G89" s="255"/>
      <c r="H89" s="255"/>
      <c r="I89" s="255">
        <v>0</v>
      </c>
      <c r="J89" s="255"/>
      <c r="K89" s="255"/>
      <c r="L89" s="254"/>
      <c r="M89" s="256"/>
      <c r="N89" s="269">
        <f t="shared" si="44"/>
        <v>21000000</v>
      </c>
      <c r="P89" s="269"/>
      <c r="Q89" s="331"/>
      <c r="R89" s="331"/>
      <c r="S89" s="334">
        <v>221436</v>
      </c>
      <c r="T89" s="269"/>
      <c r="U89" s="257">
        <f t="shared" si="45"/>
        <v>221436</v>
      </c>
      <c r="V89" s="333">
        <f t="shared" si="46"/>
        <v>20778564</v>
      </c>
      <c r="X89" s="359"/>
      <c r="Y89" s="130"/>
      <c r="AB89" s="131"/>
      <c r="AC89" s="130"/>
    </row>
    <row r="90" spans="2:29" x14ac:dyDescent="0.25">
      <c r="B90" s="7" t="s">
        <v>77</v>
      </c>
      <c r="C90" s="252">
        <v>6000000</v>
      </c>
      <c r="D90" s="253"/>
      <c r="E90" s="254">
        <v>0</v>
      </c>
      <c r="F90" s="255"/>
      <c r="G90" s="255"/>
      <c r="H90" s="255"/>
      <c r="I90" s="255">
        <v>0</v>
      </c>
      <c r="J90" s="255"/>
      <c r="K90" s="255"/>
      <c r="L90" s="254"/>
      <c r="M90" s="256"/>
      <c r="N90" s="269">
        <f t="shared" si="44"/>
        <v>6000000</v>
      </c>
      <c r="P90" s="269"/>
      <c r="Q90" s="331"/>
      <c r="R90" s="331"/>
      <c r="S90" s="334"/>
      <c r="T90" s="269"/>
      <c r="U90" s="257">
        <f t="shared" si="45"/>
        <v>0</v>
      </c>
      <c r="V90" s="333">
        <f t="shared" si="46"/>
        <v>6000000</v>
      </c>
      <c r="X90" s="359"/>
      <c r="Y90" s="130"/>
      <c r="AB90" s="131"/>
      <c r="AC90" s="130"/>
    </row>
    <row r="91" spans="2:29" x14ac:dyDescent="0.25">
      <c r="B91" s="7" t="s">
        <v>78</v>
      </c>
      <c r="C91" s="252">
        <v>27500000</v>
      </c>
      <c r="D91" s="253"/>
      <c r="E91" s="254">
        <v>0</v>
      </c>
      <c r="F91" s="255"/>
      <c r="G91" s="255"/>
      <c r="H91" s="255"/>
      <c r="I91" s="255">
        <v>-10000000</v>
      </c>
      <c r="J91" s="255"/>
      <c r="K91" s="255"/>
      <c r="L91" s="254"/>
      <c r="M91" s="256"/>
      <c r="N91" s="269">
        <f t="shared" si="44"/>
        <v>17500000</v>
      </c>
      <c r="P91" s="269"/>
      <c r="Q91" s="331"/>
      <c r="R91" s="331">
        <v>12383504</v>
      </c>
      <c r="S91" s="334">
        <v>2711841</v>
      </c>
      <c r="T91" s="269"/>
      <c r="U91" s="257">
        <f t="shared" si="45"/>
        <v>15095345</v>
      </c>
      <c r="V91" s="333">
        <f t="shared" si="46"/>
        <v>2404655</v>
      </c>
      <c r="Y91" s="130"/>
      <c r="AB91" s="131"/>
      <c r="AC91" s="130"/>
    </row>
    <row r="92" spans="2:29" x14ac:dyDescent="0.25">
      <c r="B92" s="7" t="s">
        <v>114</v>
      </c>
      <c r="C92" s="252">
        <v>0</v>
      </c>
      <c r="D92" s="253"/>
      <c r="E92" s="254">
        <v>24000000</v>
      </c>
      <c r="F92" s="255"/>
      <c r="G92" s="255"/>
      <c r="H92" s="255"/>
      <c r="I92" s="255">
        <v>0</v>
      </c>
      <c r="J92" s="255"/>
      <c r="K92" s="255"/>
      <c r="L92" s="254"/>
      <c r="M92" s="256"/>
      <c r="N92" s="269">
        <f t="shared" si="44"/>
        <v>24000000</v>
      </c>
      <c r="P92" s="269"/>
      <c r="Q92" s="331">
        <v>23987825</v>
      </c>
      <c r="R92" s="331"/>
      <c r="S92" s="334"/>
      <c r="T92" s="269"/>
      <c r="U92" s="257">
        <f t="shared" si="45"/>
        <v>23987825</v>
      </c>
      <c r="V92" s="333">
        <f t="shared" si="46"/>
        <v>12175</v>
      </c>
      <c r="Y92" s="130"/>
      <c r="AB92" s="131"/>
      <c r="AC92" s="130"/>
    </row>
    <row r="93" spans="2:29" x14ac:dyDescent="0.25">
      <c r="B93" s="7" t="s">
        <v>80</v>
      </c>
      <c r="C93" s="252">
        <v>9158848</v>
      </c>
      <c r="D93" s="253"/>
      <c r="E93" s="254">
        <v>0</v>
      </c>
      <c r="F93" s="255"/>
      <c r="G93" s="255"/>
      <c r="H93" s="255"/>
      <c r="I93" s="255">
        <v>-9158848</v>
      </c>
      <c r="J93" s="255"/>
      <c r="K93" s="255"/>
      <c r="L93" s="254"/>
      <c r="M93" s="256"/>
      <c r="N93" s="269">
        <f t="shared" si="44"/>
        <v>0</v>
      </c>
      <c r="P93" s="269"/>
      <c r="Q93" s="331"/>
      <c r="R93" s="331"/>
      <c r="S93" s="334"/>
      <c r="T93" s="269"/>
      <c r="U93" s="257">
        <f t="shared" si="45"/>
        <v>0</v>
      </c>
      <c r="V93" s="333">
        <f t="shared" si="46"/>
        <v>0</v>
      </c>
      <c r="Y93" s="130"/>
      <c r="AB93" s="131"/>
      <c r="AC93" s="130"/>
    </row>
    <row r="94" spans="2:29" x14ac:dyDescent="0.25">
      <c r="B94" s="7" t="s">
        <v>115</v>
      </c>
      <c r="C94" s="252">
        <v>21800000</v>
      </c>
      <c r="D94" s="253"/>
      <c r="E94" s="254">
        <v>0</v>
      </c>
      <c r="F94" s="255"/>
      <c r="G94" s="255"/>
      <c r="H94" s="255"/>
      <c r="I94" s="255">
        <v>0</v>
      </c>
      <c r="J94" s="255"/>
      <c r="K94" s="255"/>
      <c r="L94" s="254"/>
      <c r="M94" s="256"/>
      <c r="N94" s="269">
        <f t="shared" si="44"/>
        <v>21800000</v>
      </c>
      <c r="P94" s="269"/>
      <c r="Q94" s="331"/>
      <c r="R94" s="331"/>
      <c r="S94" s="334">
        <v>0</v>
      </c>
      <c r="T94" s="269"/>
      <c r="U94" s="257">
        <f t="shared" si="45"/>
        <v>0</v>
      </c>
      <c r="V94" s="333">
        <f t="shared" si="46"/>
        <v>21800000</v>
      </c>
      <c r="X94" s="359"/>
      <c r="Y94" s="130"/>
      <c r="AB94" s="131"/>
      <c r="AC94" s="130"/>
    </row>
    <row r="95" spans="2:29" x14ac:dyDescent="0.25">
      <c r="B95" s="12" t="s">
        <v>82</v>
      </c>
      <c r="C95" s="291">
        <f>SUM(C96:C98)</f>
        <v>840000000</v>
      </c>
      <c r="D95" s="292">
        <f t="shared" ref="D95:K95" si="47">SUM(D96:D98)</f>
        <v>0</v>
      </c>
      <c r="E95" s="293">
        <f t="shared" si="47"/>
        <v>0</v>
      </c>
      <c r="F95" s="294">
        <f t="shared" si="47"/>
        <v>700650000</v>
      </c>
      <c r="G95" s="294">
        <f t="shared" si="47"/>
        <v>-150000000</v>
      </c>
      <c r="H95" s="294">
        <f t="shared" si="47"/>
        <v>0</v>
      </c>
      <c r="I95" s="294">
        <f t="shared" si="47"/>
        <v>-56782018</v>
      </c>
      <c r="J95" s="294">
        <f t="shared" si="47"/>
        <v>0</v>
      </c>
      <c r="K95" s="294">
        <f t="shared" si="47"/>
        <v>0</v>
      </c>
      <c r="L95" s="293"/>
      <c r="M95" s="295"/>
      <c r="N95" s="280">
        <f>+SUM(N96:N99)</f>
        <v>1333867982</v>
      </c>
      <c r="P95" s="280">
        <f t="shared" ref="P95:T95" si="48">SUM(P96:P98)</f>
        <v>0</v>
      </c>
      <c r="Q95" s="346">
        <f t="shared" si="48"/>
        <v>204000000</v>
      </c>
      <c r="R95" s="346">
        <f t="shared" si="48"/>
        <v>284143901</v>
      </c>
      <c r="S95" s="347">
        <f t="shared" si="48"/>
        <v>845067398</v>
      </c>
      <c r="T95" s="280">
        <f t="shared" si="48"/>
        <v>0</v>
      </c>
      <c r="U95" s="280">
        <f>+SUM(U96:U99)</f>
        <v>1333211299</v>
      </c>
      <c r="V95" s="340">
        <f>+SUM(V96:V99)</f>
        <v>656683</v>
      </c>
      <c r="Y95" s="130"/>
      <c r="AB95" s="131"/>
      <c r="AC95" s="130"/>
    </row>
    <row r="96" spans="2:29" x14ac:dyDescent="0.25">
      <c r="B96" s="7" t="s">
        <v>83</v>
      </c>
      <c r="C96" s="252">
        <v>570000000</v>
      </c>
      <c r="D96" s="270"/>
      <c r="E96" s="271"/>
      <c r="F96" s="272">
        <v>600000000</v>
      </c>
      <c r="G96" s="272"/>
      <c r="H96" s="272"/>
      <c r="I96" s="272">
        <v>-56782018</v>
      </c>
      <c r="J96" s="272"/>
      <c r="K96" s="272"/>
      <c r="L96" s="271"/>
      <c r="M96" s="281"/>
      <c r="N96" s="274">
        <f t="shared" ref="N96:N97" si="49">SUM(C96:M96)</f>
        <v>1113217982</v>
      </c>
      <c r="P96" s="274"/>
      <c r="Q96" s="338">
        <v>180000000</v>
      </c>
      <c r="R96" s="338">
        <v>195951027</v>
      </c>
      <c r="S96" s="334">
        <v>736717398</v>
      </c>
      <c r="T96" s="269"/>
      <c r="U96" s="257">
        <f>SUM(P96:T96)</f>
        <v>1112668425</v>
      </c>
      <c r="V96" s="333">
        <f>+N96-U96</f>
        <v>549557</v>
      </c>
      <c r="Y96" s="130"/>
      <c r="AB96" s="131"/>
      <c r="AC96" s="130"/>
    </row>
    <row r="97" spans="2:29" x14ac:dyDescent="0.25">
      <c r="B97" s="7" t="s">
        <v>84</v>
      </c>
      <c r="C97" s="252">
        <v>150000000</v>
      </c>
      <c r="D97" s="270"/>
      <c r="E97" s="271"/>
      <c r="F97" s="272"/>
      <c r="G97" s="272">
        <v>-150000000</v>
      </c>
      <c r="H97" s="272"/>
      <c r="I97" s="272">
        <v>0</v>
      </c>
      <c r="J97" s="272"/>
      <c r="K97" s="272"/>
      <c r="L97" s="271"/>
      <c r="M97" s="281"/>
      <c r="N97" s="274">
        <f t="shared" si="49"/>
        <v>0</v>
      </c>
      <c r="P97" s="274"/>
      <c r="Q97" s="338">
        <v>0</v>
      </c>
      <c r="R97" s="338"/>
      <c r="S97" s="334"/>
      <c r="T97" s="269"/>
      <c r="U97" s="257">
        <f>SUM(P97:T97)</f>
        <v>0</v>
      </c>
      <c r="V97" s="333">
        <f>+N97-U97</f>
        <v>0</v>
      </c>
      <c r="Y97" s="130"/>
      <c r="AB97" s="131"/>
      <c r="AC97" s="130"/>
    </row>
    <row r="98" spans="2:29" x14ac:dyDescent="0.25">
      <c r="B98" s="7" t="s">
        <v>85</v>
      </c>
      <c r="C98" s="252">
        <v>120000000</v>
      </c>
      <c r="D98" s="253"/>
      <c r="E98" s="254"/>
      <c r="F98" s="255">
        <v>100650000</v>
      </c>
      <c r="G98" s="255"/>
      <c r="H98" s="255"/>
      <c r="I98" s="255">
        <v>0</v>
      </c>
      <c r="J98" s="255"/>
      <c r="K98" s="255"/>
      <c r="L98" s="254"/>
      <c r="M98" s="256"/>
      <c r="N98" s="269">
        <f>SUM(C98:M98)</f>
        <v>220650000</v>
      </c>
      <c r="P98" s="269"/>
      <c r="Q98" s="331">
        <v>24000000</v>
      </c>
      <c r="R98" s="331">
        <v>88192874</v>
      </c>
      <c r="S98" s="334">
        <v>108350000</v>
      </c>
      <c r="T98" s="269"/>
      <c r="U98" s="257">
        <f t="shared" ref="U98" si="50">SUM(P98:T98)</f>
        <v>220542874</v>
      </c>
      <c r="V98" s="333">
        <f>+N98-U98</f>
        <v>107126</v>
      </c>
      <c r="Y98" s="130"/>
      <c r="AB98" s="131"/>
      <c r="AC98" s="130"/>
    </row>
    <row r="99" spans="2:29" x14ac:dyDescent="0.25">
      <c r="B99" s="12" t="s">
        <v>46</v>
      </c>
      <c r="C99" s="291">
        <f>+C100</f>
        <v>0</v>
      </c>
      <c r="D99" s="292">
        <f t="shared" ref="D99:K99" si="51">+D100</f>
        <v>0</v>
      </c>
      <c r="E99" s="293">
        <f t="shared" si="51"/>
        <v>0</v>
      </c>
      <c r="F99" s="294">
        <f t="shared" si="51"/>
        <v>0</v>
      </c>
      <c r="G99" s="294">
        <f t="shared" si="51"/>
        <v>0</v>
      </c>
      <c r="H99" s="294">
        <f t="shared" si="51"/>
        <v>0</v>
      </c>
      <c r="I99" s="294">
        <f t="shared" si="51"/>
        <v>0</v>
      </c>
      <c r="J99" s="294">
        <f t="shared" si="51"/>
        <v>0</v>
      </c>
      <c r="K99" s="294">
        <f t="shared" si="51"/>
        <v>0</v>
      </c>
      <c r="L99" s="293"/>
      <c r="M99" s="295"/>
      <c r="N99" s="280">
        <v>0</v>
      </c>
      <c r="P99" s="280">
        <f t="shared" ref="P99:T99" si="52">+P100</f>
        <v>0</v>
      </c>
      <c r="Q99" s="346">
        <f t="shared" si="52"/>
        <v>0</v>
      </c>
      <c r="R99" s="346">
        <f t="shared" si="52"/>
        <v>0</v>
      </c>
      <c r="S99" s="347">
        <f t="shared" si="52"/>
        <v>0</v>
      </c>
      <c r="T99" s="280">
        <f t="shared" si="52"/>
        <v>0</v>
      </c>
      <c r="U99" s="280">
        <v>0</v>
      </c>
      <c r="V99" s="340">
        <v>0</v>
      </c>
      <c r="Y99" s="130"/>
      <c r="AB99" s="131"/>
      <c r="AC99" s="130"/>
    </row>
    <row r="100" spans="2:29" x14ac:dyDescent="0.25">
      <c r="B100" s="7"/>
      <c r="C100" s="252"/>
      <c r="D100" s="253"/>
      <c r="E100" s="254"/>
      <c r="F100" s="255"/>
      <c r="G100" s="255"/>
      <c r="H100" s="255"/>
      <c r="I100" s="255"/>
      <c r="J100" s="255"/>
      <c r="K100" s="255"/>
      <c r="L100" s="254"/>
      <c r="M100" s="256"/>
      <c r="N100" s="269"/>
      <c r="P100" s="269">
        <v>0</v>
      </c>
      <c r="Q100" s="331">
        <v>0</v>
      </c>
      <c r="R100" s="331">
        <v>0</v>
      </c>
      <c r="S100" s="334">
        <v>0</v>
      </c>
      <c r="T100" s="269"/>
      <c r="U100" s="257"/>
      <c r="V100" s="333"/>
      <c r="Y100" s="130"/>
      <c r="AB100" s="131"/>
      <c r="AC100" s="130"/>
    </row>
    <row r="101" spans="2:29" ht="16.5" thickBot="1" x14ac:dyDescent="0.3">
      <c r="B101" s="9"/>
      <c r="C101" s="311"/>
      <c r="D101" s="275"/>
      <c r="E101" s="276"/>
      <c r="F101" s="277"/>
      <c r="G101" s="277"/>
      <c r="H101" s="277"/>
      <c r="I101" s="277"/>
      <c r="J101" s="277"/>
      <c r="K101" s="277"/>
      <c r="L101" s="276"/>
      <c r="M101" s="278"/>
      <c r="N101" s="279"/>
      <c r="P101" s="279">
        <v>0</v>
      </c>
      <c r="Q101" s="339">
        <v>0</v>
      </c>
      <c r="R101" s="339">
        <v>0</v>
      </c>
      <c r="S101" s="353">
        <v>0</v>
      </c>
      <c r="T101" s="279"/>
      <c r="U101" s="257"/>
      <c r="V101" s="333"/>
      <c r="Y101" s="130"/>
      <c r="AC101" s="130"/>
    </row>
    <row r="102" spans="2:29" x14ac:dyDescent="0.25">
      <c r="B102" s="86" t="s">
        <v>88</v>
      </c>
      <c r="C102" s="312">
        <f t="shared" ref="C102:N102" si="53">+C50+C19+C48</f>
        <v>4674542781.8999996</v>
      </c>
      <c r="D102" s="313">
        <f t="shared" si="53"/>
        <v>0</v>
      </c>
      <c r="E102" s="314">
        <f>+E50+E19+E48</f>
        <v>49654478.983999997</v>
      </c>
      <c r="F102" s="315">
        <f t="shared" ref="F102:K102" si="54">+F50+F19+F48</f>
        <v>710352500</v>
      </c>
      <c r="G102" s="315">
        <f t="shared" si="54"/>
        <v>-150000000</v>
      </c>
      <c r="H102" s="315">
        <f t="shared" si="54"/>
        <v>46172000</v>
      </c>
      <c r="I102" s="315">
        <f t="shared" si="54"/>
        <v>-772904529</v>
      </c>
      <c r="J102" s="315">
        <f t="shared" si="54"/>
        <v>8925957.9000000004</v>
      </c>
      <c r="K102" s="315">
        <f t="shared" si="54"/>
        <v>2451000</v>
      </c>
      <c r="L102" s="314"/>
      <c r="M102" s="316"/>
      <c r="N102" s="317">
        <f t="shared" si="53"/>
        <v>4569194189.7840004</v>
      </c>
      <c r="P102" s="317">
        <f t="shared" ref="P102:T102" si="55">+P50+P19+P48</f>
        <v>843667850</v>
      </c>
      <c r="Q102" s="354">
        <f t="shared" si="55"/>
        <v>897586783.70000005</v>
      </c>
      <c r="R102" s="354">
        <f t="shared" si="55"/>
        <v>955468017.5</v>
      </c>
      <c r="S102" s="317">
        <f t="shared" si="55"/>
        <v>1534275973.5999999</v>
      </c>
      <c r="T102" s="355">
        <f t="shared" si="55"/>
        <v>0</v>
      </c>
      <c r="U102" s="317">
        <f>+U50+U19+U48</f>
        <v>4230998624.8000002</v>
      </c>
      <c r="V102" s="355">
        <f>+V50+V19+V48</f>
        <v>338195564.98400003</v>
      </c>
      <c r="Y102" s="130"/>
      <c r="AB102" s="131"/>
      <c r="AC102" s="130"/>
    </row>
    <row r="103" spans="2:29" x14ac:dyDescent="0.25">
      <c r="B103" s="13" t="s">
        <v>47</v>
      </c>
      <c r="C103" s="291">
        <f t="shared" ref="C103:N103" si="56">+C17-C102</f>
        <v>6073674351.152338</v>
      </c>
      <c r="D103" s="292">
        <f t="shared" si="56"/>
        <v>814112424</v>
      </c>
      <c r="E103" s="293">
        <f t="shared" si="56"/>
        <v>-49654478.983999997</v>
      </c>
      <c r="F103" s="294">
        <f t="shared" si="56"/>
        <v>-520352500</v>
      </c>
      <c r="G103" s="294">
        <f t="shared" si="56"/>
        <v>150000000</v>
      </c>
      <c r="H103" s="294">
        <f t="shared" si="56"/>
        <v>-46172000</v>
      </c>
      <c r="I103" s="294">
        <f t="shared" si="56"/>
        <v>772904529</v>
      </c>
      <c r="J103" s="294">
        <f t="shared" si="56"/>
        <v>148333621.09999999</v>
      </c>
      <c r="K103" s="294">
        <f t="shared" si="56"/>
        <v>42882000</v>
      </c>
      <c r="L103" s="293"/>
      <c r="M103" s="295"/>
      <c r="N103" s="280">
        <f t="shared" si="56"/>
        <v>7385727946.2683372</v>
      </c>
      <c r="P103" s="280">
        <f t="shared" ref="P103:V103" si="57">+P17-P102</f>
        <v>690578519</v>
      </c>
      <c r="Q103" s="346">
        <f t="shared" si="57"/>
        <v>385051375.29999995</v>
      </c>
      <c r="R103" s="346">
        <f t="shared" si="57"/>
        <v>355448699.5</v>
      </c>
      <c r="S103" s="280">
        <f t="shared" si="57"/>
        <v>9.6500000953674316</v>
      </c>
      <c r="T103" s="340">
        <f t="shared" si="57"/>
        <v>5656257266.8000002</v>
      </c>
      <c r="U103" s="280">
        <f t="shared" si="57"/>
        <v>7087335870.249999</v>
      </c>
      <c r="V103" s="340">
        <f t="shared" si="57"/>
        <v>298392076.01833743</v>
      </c>
      <c r="Y103" s="130"/>
      <c r="AB103" s="131"/>
      <c r="AC103" s="130"/>
    </row>
    <row r="104" spans="2:29" ht="16.5" thickBot="1" x14ac:dyDescent="0.3">
      <c r="B104" s="14" t="s">
        <v>48</v>
      </c>
      <c r="C104" s="318">
        <f>SUM(C102:C103)</f>
        <v>10748217133.052338</v>
      </c>
      <c r="D104" s="319">
        <f t="shared" ref="D104:K104" si="58">SUM(D102:D103)</f>
        <v>814112424</v>
      </c>
      <c r="E104" s="320">
        <f t="shared" si="58"/>
        <v>0</v>
      </c>
      <c r="F104" s="321">
        <f t="shared" si="58"/>
        <v>190000000</v>
      </c>
      <c r="G104" s="321">
        <f t="shared" si="58"/>
        <v>0</v>
      </c>
      <c r="H104" s="321">
        <f t="shared" si="58"/>
        <v>0</v>
      </c>
      <c r="I104" s="321">
        <f t="shared" si="58"/>
        <v>0</v>
      </c>
      <c r="J104" s="321">
        <f t="shared" si="58"/>
        <v>157259579</v>
      </c>
      <c r="K104" s="321">
        <f t="shared" si="58"/>
        <v>45333000</v>
      </c>
      <c r="L104" s="320"/>
      <c r="M104" s="322"/>
      <c r="N104" s="323">
        <f>SUM(N102:N103)</f>
        <v>11954922136.052338</v>
      </c>
      <c r="P104" s="323">
        <f t="shared" ref="P104:T104" si="59">SUM(P102:P103)</f>
        <v>1534246369</v>
      </c>
      <c r="Q104" s="356">
        <f t="shared" si="59"/>
        <v>1282638159</v>
      </c>
      <c r="R104" s="356">
        <f t="shared" si="59"/>
        <v>1310916717</v>
      </c>
      <c r="S104" s="323">
        <f t="shared" si="59"/>
        <v>1534275983.25</v>
      </c>
      <c r="T104" s="357">
        <f t="shared" si="59"/>
        <v>5656257266.8000002</v>
      </c>
      <c r="U104" s="323">
        <f>SUM(U102:U103)</f>
        <v>11318334495.049999</v>
      </c>
      <c r="V104" s="357">
        <f>SUM(V102:V103)</f>
        <v>636587641.00233746</v>
      </c>
      <c r="Y104" s="130"/>
      <c r="AB104" s="131"/>
      <c r="AC104" s="130"/>
    </row>
    <row r="105" spans="2:29" x14ac:dyDescent="0.25">
      <c r="AC105" s="130"/>
    </row>
    <row r="106" spans="2:29" x14ac:dyDescent="0.25">
      <c r="AC106" s="130"/>
    </row>
    <row r="107" spans="2:29" hidden="1" x14ac:dyDescent="0.25"/>
    <row r="108" spans="2:29" hidden="1" x14ac:dyDescent="0.25">
      <c r="T108" s="324" t="s">
        <v>116</v>
      </c>
      <c r="U108" s="324">
        <f>+'[4]ESTADO DE RESULTADOS FNFP ( (4'!$C$15</f>
        <v>4229223421</v>
      </c>
    </row>
    <row r="109" spans="2:29" hidden="1" x14ac:dyDescent="0.25">
      <c r="T109" s="324" t="s">
        <v>117</v>
      </c>
      <c r="U109" s="324">
        <f>(+'[4]BAL F.08 12 2020 (2)'!$P$157+'[4]BAL F.08 12 2020 (2)'!$P$158+'[4]BAL F.08 12 2020 (2)'!$P$159+'[4]BAL F.08 12 2020 (2)'!$P$160)*-1</f>
        <v>-74355903</v>
      </c>
    </row>
    <row r="110" spans="2:29" hidden="1" x14ac:dyDescent="0.25">
      <c r="T110" s="324" t="s">
        <v>118</v>
      </c>
      <c r="U110" s="324">
        <f>+'[5]AÑO 2020 '!$Q$29</f>
        <v>76131106</v>
      </c>
    </row>
    <row r="111" spans="2:29" hidden="1" x14ac:dyDescent="0.25">
      <c r="U111" s="324">
        <f>SUM(U108:U110)</f>
        <v>4230998624</v>
      </c>
    </row>
    <row r="112" spans="2:29" hidden="1" x14ac:dyDescent="0.25">
      <c r="T112" s="324" t="s">
        <v>119</v>
      </c>
      <c r="U112" s="324">
        <f>+U102</f>
        <v>4230998624.8000002</v>
      </c>
    </row>
    <row r="113" spans="21:21" hidden="1" x14ac:dyDescent="0.25">
      <c r="U113" s="324">
        <f>+U111-U112</f>
        <v>-0.80000019073486328</v>
      </c>
    </row>
    <row r="114" spans="21:21" hidden="1" x14ac:dyDescent="0.25"/>
    <row r="115" spans="21:21" hidden="1" x14ac:dyDescent="0.25"/>
    <row r="116" spans="21:21" hidden="1" x14ac:dyDescent="0.25"/>
    <row r="117" spans="21:21" hidden="1" x14ac:dyDescent="0.25"/>
    <row r="118" spans="21:21" hidden="1" x14ac:dyDescent="0.25"/>
    <row r="119" spans="21:21" hidden="1" x14ac:dyDescent="0.25"/>
  </sheetData>
  <autoFilter ref="B7:V104"/>
  <mergeCells count="6">
    <mergeCell ref="B7:B8"/>
    <mergeCell ref="B6:N6"/>
    <mergeCell ref="B2:V2"/>
    <mergeCell ref="B3:V3"/>
    <mergeCell ref="B4:V4"/>
    <mergeCell ref="B5:V5"/>
  </mergeCells>
  <printOptions horizontalCentered="1" gridLines="1"/>
  <pageMargins left="0.19685039370078741" right="0.19685039370078741" top="0.39370078740157483" bottom="0.39370078740157483" header="0.51181102362204722" footer="0.51181102362204722"/>
  <pageSetup scale="60" fitToHeight="2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13"/>
  <sheetViews>
    <sheetView topLeftCell="B1" zoomScale="80" zoomScaleNormal="80" workbookViewId="0">
      <pane ySplit="1" topLeftCell="A67" activePane="bottomLeft" state="frozen"/>
      <selection activeCell="B2" sqref="B2:V104"/>
      <selection pane="bottomLeft" activeCell="B2" sqref="B2:V104"/>
    </sheetView>
  </sheetViews>
  <sheetFormatPr baseColWidth="10" defaultRowHeight="15.75" outlineLevelCol="1" x14ac:dyDescent="0.25"/>
  <cols>
    <col min="1" max="1" width="0.7109375" style="1" hidden="1" customWidth="1"/>
    <col min="2" max="2" width="38.85546875" style="1" customWidth="1"/>
    <col min="3" max="13" width="18.7109375" style="324" customWidth="1" outlineLevel="1"/>
    <col min="14" max="14" width="18.7109375" style="324" customWidth="1"/>
    <col min="15" max="15" width="9.42578125" style="104" hidden="1" customWidth="1"/>
    <col min="16" max="16" width="20.7109375" style="105" hidden="1" customWidth="1"/>
    <col min="17" max="17" width="20.5703125" style="105" hidden="1" customWidth="1"/>
    <col min="18" max="20" width="20.7109375" style="105" hidden="1" customWidth="1" outlineLevel="1"/>
    <col min="21" max="21" width="20.7109375" style="105" hidden="1" customWidth="1"/>
    <col min="22" max="22" width="19.85546875" style="105" hidden="1" customWidth="1"/>
    <col min="23" max="23" width="20.42578125" style="106" hidden="1" customWidth="1"/>
    <col min="24" max="24" width="17.28515625" style="1" hidden="1" customWidth="1"/>
    <col min="25" max="25" width="21.140625" style="1" hidden="1" customWidth="1"/>
    <col min="26" max="27" width="0" style="1" hidden="1" customWidth="1"/>
    <col min="28" max="28" width="17.85546875" style="1" bestFit="1" customWidth="1"/>
    <col min="29" max="29" width="15" style="1" bestFit="1" customWidth="1"/>
    <col min="30" max="245" width="11.42578125" style="1"/>
    <col min="246" max="246" width="0.7109375" style="1" customWidth="1"/>
    <col min="247" max="247" width="42.28515625" style="1" bestFit="1" customWidth="1"/>
    <col min="248" max="249" width="13.85546875" style="1" bestFit="1" customWidth="1"/>
    <col min="250" max="250" width="11.140625" style="1" bestFit="1" customWidth="1"/>
    <col min="251" max="251" width="13.85546875" style="1" bestFit="1" customWidth="1"/>
    <col min="252" max="252" width="3.7109375" style="1" bestFit="1" customWidth="1"/>
    <col min="253" max="253" width="7.5703125" style="1" bestFit="1" customWidth="1"/>
    <col min="254" max="254" width="16.7109375" style="1" bestFit="1" customWidth="1"/>
    <col min="255" max="256" width="12.28515625" style="1" bestFit="1" customWidth="1"/>
    <col min="257" max="501" width="11.42578125" style="1"/>
    <col min="502" max="502" width="0.7109375" style="1" customWidth="1"/>
    <col min="503" max="503" width="42.28515625" style="1" bestFit="1" customWidth="1"/>
    <col min="504" max="505" width="13.85546875" style="1" bestFit="1" customWidth="1"/>
    <col min="506" max="506" width="11.140625" style="1" bestFit="1" customWidth="1"/>
    <col min="507" max="507" width="13.85546875" style="1" bestFit="1" customWidth="1"/>
    <col min="508" max="508" width="3.7109375" style="1" bestFit="1" customWidth="1"/>
    <col min="509" max="509" width="7.5703125" style="1" bestFit="1" customWidth="1"/>
    <col min="510" max="510" width="16.7109375" style="1" bestFit="1" customWidth="1"/>
    <col min="511" max="512" width="12.28515625" style="1" bestFit="1" customWidth="1"/>
    <col min="513" max="757" width="11.42578125" style="1"/>
    <col min="758" max="758" width="0.7109375" style="1" customWidth="1"/>
    <col min="759" max="759" width="42.28515625" style="1" bestFit="1" customWidth="1"/>
    <col min="760" max="761" width="13.85546875" style="1" bestFit="1" customWidth="1"/>
    <col min="762" max="762" width="11.140625" style="1" bestFit="1" customWidth="1"/>
    <col min="763" max="763" width="13.85546875" style="1" bestFit="1" customWidth="1"/>
    <col min="764" max="764" width="3.7109375" style="1" bestFit="1" customWidth="1"/>
    <col min="765" max="765" width="7.5703125" style="1" bestFit="1" customWidth="1"/>
    <col min="766" max="766" width="16.7109375" style="1" bestFit="1" customWidth="1"/>
    <col min="767" max="768" width="12.28515625" style="1" bestFit="1" customWidth="1"/>
    <col min="769" max="1013" width="11.42578125" style="1"/>
    <col min="1014" max="1014" width="0.7109375" style="1" customWidth="1"/>
    <col min="1015" max="1015" width="42.28515625" style="1" bestFit="1" customWidth="1"/>
    <col min="1016" max="1017" width="13.85546875" style="1" bestFit="1" customWidth="1"/>
    <col min="1018" max="1018" width="11.140625" style="1" bestFit="1" customWidth="1"/>
    <col min="1019" max="1019" width="13.85546875" style="1" bestFit="1" customWidth="1"/>
    <col min="1020" max="1020" width="3.7109375" style="1" bestFit="1" customWidth="1"/>
    <col min="1021" max="1021" width="7.5703125" style="1" bestFit="1" customWidth="1"/>
    <col min="1022" max="1022" width="16.7109375" style="1" bestFit="1" customWidth="1"/>
    <col min="1023" max="1024" width="12.28515625" style="1" bestFit="1" customWidth="1"/>
    <col min="1025" max="1269" width="11.42578125" style="1"/>
    <col min="1270" max="1270" width="0.7109375" style="1" customWidth="1"/>
    <col min="1271" max="1271" width="42.28515625" style="1" bestFit="1" customWidth="1"/>
    <col min="1272" max="1273" width="13.85546875" style="1" bestFit="1" customWidth="1"/>
    <col min="1274" max="1274" width="11.140625" style="1" bestFit="1" customWidth="1"/>
    <col min="1275" max="1275" width="13.85546875" style="1" bestFit="1" customWidth="1"/>
    <col min="1276" max="1276" width="3.7109375" style="1" bestFit="1" customWidth="1"/>
    <col min="1277" max="1277" width="7.5703125" style="1" bestFit="1" customWidth="1"/>
    <col min="1278" max="1278" width="16.7109375" style="1" bestFit="1" customWidth="1"/>
    <col min="1279" max="1280" width="12.28515625" style="1" bestFit="1" customWidth="1"/>
    <col min="1281" max="1525" width="11.42578125" style="1"/>
    <col min="1526" max="1526" width="0.7109375" style="1" customWidth="1"/>
    <col min="1527" max="1527" width="42.28515625" style="1" bestFit="1" customWidth="1"/>
    <col min="1528" max="1529" width="13.85546875" style="1" bestFit="1" customWidth="1"/>
    <col min="1530" max="1530" width="11.140625" style="1" bestFit="1" customWidth="1"/>
    <col min="1531" max="1531" width="13.85546875" style="1" bestFit="1" customWidth="1"/>
    <col min="1532" max="1532" width="3.7109375" style="1" bestFit="1" customWidth="1"/>
    <col min="1533" max="1533" width="7.5703125" style="1" bestFit="1" customWidth="1"/>
    <col min="1534" max="1534" width="16.7109375" style="1" bestFit="1" customWidth="1"/>
    <col min="1535" max="1536" width="12.28515625" style="1" bestFit="1" customWidth="1"/>
    <col min="1537" max="1781" width="11.42578125" style="1"/>
    <col min="1782" max="1782" width="0.7109375" style="1" customWidth="1"/>
    <col min="1783" max="1783" width="42.28515625" style="1" bestFit="1" customWidth="1"/>
    <col min="1784" max="1785" width="13.85546875" style="1" bestFit="1" customWidth="1"/>
    <col min="1786" max="1786" width="11.140625" style="1" bestFit="1" customWidth="1"/>
    <col min="1787" max="1787" width="13.85546875" style="1" bestFit="1" customWidth="1"/>
    <col min="1788" max="1788" width="3.7109375" style="1" bestFit="1" customWidth="1"/>
    <col min="1789" max="1789" width="7.5703125" style="1" bestFit="1" customWidth="1"/>
    <col min="1790" max="1790" width="16.7109375" style="1" bestFit="1" customWidth="1"/>
    <col min="1791" max="1792" width="12.28515625" style="1" bestFit="1" customWidth="1"/>
    <col min="1793" max="2037" width="11.42578125" style="1"/>
    <col min="2038" max="2038" width="0.7109375" style="1" customWidth="1"/>
    <col min="2039" max="2039" width="42.28515625" style="1" bestFit="1" customWidth="1"/>
    <col min="2040" max="2041" width="13.85546875" style="1" bestFit="1" customWidth="1"/>
    <col min="2042" max="2042" width="11.140625" style="1" bestFit="1" customWidth="1"/>
    <col min="2043" max="2043" width="13.85546875" style="1" bestFit="1" customWidth="1"/>
    <col min="2044" max="2044" width="3.7109375" style="1" bestFit="1" customWidth="1"/>
    <col min="2045" max="2045" width="7.5703125" style="1" bestFit="1" customWidth="1"/>
    <col min="2046" max="2046" width="16.7109375" style="1" bestFit="1" customWidth="1"/>
    <col min="2047" max="2048" width="12.28515625" style="1" bestFit="1" customWidth="1"/>
    <col min="2049" max="2293" width="11.42578125" style="1"/>
    <col min="2294" max="2294" width="0.7109375" style="1" customWidth="1"/>
    <col min="2295" max="2295" width="42.28515625" style="1" bestFit="1" customWidth="1"/>
    <col min="2296" max="2297" width="13.85546875" style="1" bestFit="1" customWidth="1"/>
    <col min="2298" max="2298" width="11.140625" style="1" bestFit="1" customWidth="1"/>
    <col min="2299" max="2299" width="13.85546875" style="1" bestFit="1" customWidth="1"/>
    <col min="2300" max="2300" width="3.7109375" style="1" bestFit="1" customWidth="1"/>
    <col min="2301" max="2301" width="7.5703125" style="1" bestFit="1" customWidth="1"/>
    <col min="2302" max="2302" width="16.7109375" style="1" bestFit="1" customWidth="1"/>
    <col min="2303" max="2304" width="12.28515625" style="1" bestFit="1" customWidth="1"/>
    <col min="2305" max="2549" width="11.42578125" style="1"/>
    <col min="2550" max="2550" width="0.7109375" style="1" customWidth="1"/>
    <col min="2551" max="2551" width="42.28515625" style="1" bestFit="1" customWidth="1"/>
    <col min="2552" max="2553" width="13.85546875" style="1" bestFit="1" customWidth="1"/>
    <col min="2554" max="2554" width="11.140625" style="1" bestFit="1" customWidth="1"/>
    <col min="2555" max="2555" width="13.85546875" style="1" bestFit="1" customWidth="1"/>
    <col min="2556" max="2556" width="3.7109375" style="1" bestFit="1" customWidth="1"/>
    <col min="2557" max="2557" width="7.5703125" style="1" bestFit="1" customWidth="1"/>
    <col min="2558" max="2558" width="16.7109375" style="1" bestFit="1" customWidth="1"/>
    <col min="2559" max="2560" width="12.28515625" style="1" bestFit="1" customWidth="1"/>
    <col min="2561" max="2805" width="11.42578125" style="1"/>
    <col min="2806" max="2806" width="0.7109375" style="1" customWidth="1"/>
    <col min="2807" max="2807" width="42.28515625" style="1" bestFit="1" customWidth="1"/>
    <col min="2808" max="2809" width="13.85546875" style="1" bestFit="1" customWidth="1"/>
    <col min="2810" max="2810" width="11.140625" style="1" bestFit="1" customWidth="1"/>
    <col min="2811" max="2811" width="13.85546875" style="1" bestFit="1" customWidth="1"/>
    <col min="2812" max="2812" width="3.7109375" style="1" bestFit="1" customWidth="1"/>
    <col min="2813" max="2813" width="7.5703125" style="1" bestFit="1" customWidth="1"/>
    <col min="2814" max="2814" width="16.7109375" style="1" bestFit="1" customWidth="1"/>
    <col min="2815" max="2816" width="12.28515625" style="1" bestFit="1" customWidth="1"/>
    <col min="2817" max="3061" width="11.42578125" style="1"/>
    <col min="3062" max="3062" width="0.7109375" style="1" customWidth="1"/>
    <col min="3063" max="3063" width="42.28515625" style="1" bestFit="1" customWidth="1"/>
    <col min="3064" max="3065" width="13.85546875" style="1" bestFit="1" customWidth="1"/>
    <col min="3066" max="3066" width="11.140625" style="1" bestFit="1" customWidth="1"/>
    <col min="3067" max="3067" width="13.85546875" style="1" bestFit="1" customWidth="1"/>
    <col min="3068" max="3068" width="3.7109375" style="1" bestFit="1" customWidth="1"/>
    <col min="3069" max="3069" width="7.5703125" style="1" bestFit="1" customWidth="1"/>
    <col min="3070" max="3070" width="16.7109375" style="1" bestFit="1" customWidth="1"/>
    <col min="3071" max="3072" width="12.28515625" style="1" bestFit="1" customWidth="1"/>
    <col min="3073" max="3317" width="11.42578125" style="1"/>
    <col min="3318" max="3318" width="0.7109375" style="1" customWidth="1"/>
    <col min="3319" max="3319" width="42.28515625" style="1" bestFit="1" customWidth="1"/>
    <col min="3320" max="3321" width="13.85546875" style="1" bestFit="1" customWidth="1"/>
    <col min="3322" max="3322" width="11.140625" style="1" bestFit="1" customWidth="1"/>
    <col min="3323" max="3323" width="13.85546875" style="1" bestFit="1" customWidth="1"/>
    <col min="3324" max="3324" width="3.7109375" style="1" bestFit="1" customWidth="1"/>
    <col min="3325" max="3325" width="7.5703125" style="1" bestFit="1" customWidth="1"/>
    <col min="3326" max="3326" width="16.7109375" style="1" bestFit="1" customWidth="1"/>
    <col min="3327" max="3328" width="12.28515625" style="1" bestFit="1" customWidth="1"/>
    <col min="3329" max="3573" width="11.42578125" style="1"/>
    <col min="3574" max="3574" width="0.7109375" style="1" customWidth="1"/>
    <col min="3575" max="3575" width="42.28515625" style="1" bestFit="1" customWidth="1"/>
    <col min="3576" max="3577" width="13.85546875" style="1" bestFit="1" customWidth="1"/>
    <col min="3578" max="3578" width="11.140625" style="1" bestFit="1" customWidth="1"/>
    <col min="3579" max="3579" width="13.85546875" style="1" bestFit="1" customWidth="1"/>
    <col min="3580" max="3580" width="3.7109375" style="1" bestFit="1" customWidth="1"/>
    <col min="3581" max="3581" width="7.5703125" style="1" bestFit="1" customWidth="1"/>
    <col min="3582" max="3582" width="16.7109375" style="1" bestFit="1" customWidth="1"/>
    <col min="3583" max="3584" width="12.28515625" style="1" bestFit="1" customWidth="1"/>
    <col min="3585" max="3829" width="11.42578125" style="1"/>
    <col min="3830" max="3830" width="0.7109375" style="1" customWidth="1"/>
    <col min="3831" max="3831" width="42.28515625" style="1" bestFit="1" customWidth="1"/>
    <col min="3832" max="3833" width="13.85546875" style="1" bestFit="1" customWidth="1"/>
    <col min="3834" max="3834" width="11.140625" style="1" bestFit="1" customWidth="1"/>
    <col min="3835" max="3835" width="13.85546875" style="1" bestFit="1" customWidth="1"/>
    <col min="3836" max="3836" width="3.7109375" style="1" bestFit="1" customWidth="1"/>
    <col min="3837" max="3837" width="7.5703125" style="1" bestFit="1" customWidth="1"/>
    <col min="3838" max="3838" width="16.7109375" style="1" bestFit="1" customWidth="1"/>
    <col min="3839" max="3840" width="12.28515625" style="1" bestFit="1" customWidth="1"/>
    <col min="3841" max="4085" width="11.42578125" style="1"/>
    <col min="4086" max="4086" width="0.7109375" style="1" customWidth="1"/>
    <col min="4087" max="4087" width="42.28515625" style="1" bestFit="1" customWidth="1"/>
    <col min="4088" max="4089" width="13.85546875" style="1" bestFit="1" customWidth="1"/>
    <col min="4090" max="4090" width="11.140625" style="1" bestFit="1" customWidth="1"/>
    <col min="4091" max="4091" width="13.85546875" style="1" bestFit="1" customWidth="1"/>
    <col min="4092" max="4092" width="3.7109375" style="1" bestFit="1" customWidth="1"/>
    <col min="4093" max="4093" width="7.5703125" style="1" bestFit="1" customWidth="1"/>
    <col min="4094" max="4094" width="16.7109375" style="1" bestFit="1" customWidth="1"/>
    <col min="4095" max="4096" width="12.28515625" style="1" bestFit="1" customWidth="1"/>
    <col min="4097" max="4341" width="11.42578125" style="1"/>
    <col min="4342" max="4342" width="0.7109375" style="1" customWidth="1"/>
    <col min="4343" max="4343" width="42.28515625" style="1" bestFit="1" customWidth="1"/>
    <col min="4344" max="4345" width="13.85546875" style="1" bestFit="1" customWidth="1"/>
    <col min="4346" max="4346" width="11.140625" style="1" bestFit="1" customWidth="1"/>
    <col min="4347" max="4347" width="13.85546875" style="1" bestFit="1" customWidth="1"/>
    <col min="4348" max="4348" width="3.7109375" style="1" bestFit="1" customWidth="1"/>
    <col min="4349" max="4349" width="7.5703125" style="1" bestFit="1" customWidth="1"/>
    <col min="4350" max="4350" width="16.7109375" style="1" bestFit="1" customWidth="1"/>
    <col min="4351" max="4352" width="12.28515625" style="1" bestFit="1" customWidth="1"/>
    <col min="4353" max="4597" width="11.42578125" style="1"/>
    <col min="4598" max="4598" width="0.7109375" style="1" customWidth="1"/>
    <col min="4599" max="4599" width="42.28515625" style="1" bestFit="1" customWidth="1"/>
    <col min="4600" max="4601" width="13.85546875" style="1" bestFit="1" customWidth="1"/>
    <col min="4602" max="4602" width="11.140625" style="1" bestFit="1" customWidth="1"/>
    <col min="4603" max="4603" width="13.85546875" style="1" bestFit="1" customWidth="1"/>
    <col min="4604" max="4604" width="3.7109375" style="1" bestFit="1" customWidth="1"/>
    <col min="4605" max="4605" width="7.5703125" style="1" bestFit="1" customWidth="1"/>
    <col min="4606" max="4606" width="16.7109375" style="1" bestFit="1" customWidth="1"/>
    <col min="4607" max="4608" width="12.28515625" style="1" bestFit="1" customWidth="1"/>
    <col min="4609" max="4853" width="11.42578125" style="1"/>
    <col min="4854" max="4854" width="0.7109375" style="1" customWidth="1"/>
    <col min="4855" max="4855" width="42.28515625" style="1" bestFit="1" customWidth="1"/>
    <col min="4856" max="4857" width="13.85546875" style="1" bestFit="1" customWidth="1"/>
    <col min="4858" max="4858" width="11.140625" style="1" bestFit="1" customWidth="1"/>
    <col min="4859" max="4859" width="13.85546875" style="1" bestFit="1" customWidth="1"/>
    <col min="4860" max="4860" width="3.7109375" style="1" bestFit="1" customWidth="1"/>
    <col min="4861" max="4861" width="7.5703125" style="1" bestFit="1" customWidth="1"/>
    <col min="4862" max="4862" width="16.7109375" style="1" bestFit="1" customWidth="1"/>
    <col min="4863" max="4864" width="12.28515625" style="1" bestFit="1" customWidth="1"/>
    <col min="4865" max="5109" width="11.42578125" style="1"/>
    <col min="5110" max="5110" width="0.7109375" style="1" customWidth="1"/>
    <col min="5111" max="5111" width="42.28515625" style="1" bestFit="1" customWidth="1"/>
    <col min="5112" max="5113" width="13.85546875" style="1" bestFit="1" customWidth="1"/>
    <col min="5114" max="5114" width="11.140625" style="1" bestFit="1" customWidth="1"/>
    <col min="5115" max="5115" width="13.85546875" style="1" bestFit="1" customWidth="1"/>
    <col min="5116" max="5116" width="3.7109375" style="1" bestFit="1" customWidth="1"/>
    <col min="5117" max="5117" width="7.5703125" style="1" bestFit="1" customWidth="1"/>
    <col min="5118" max="5118" width="16.7109375" style="1" bestFit="1" customWidth="1"/>
    <col min="5119" max="5120" width="12.28515625" style="1" bestFit="1" customWidth="1"/>
    <col min="5121" max="5365" width="11.42578125" style="1"/>
    <col min="5366" max="5366" width="0.7109375" style="1" customWidth="1"/>
    <col min="5367" max="5367" width="42.28515625" style="1" bestFit="1" customWidth="1"/>
    <col min="5368" max="5369" width="13.85546875" style="1" bestFit="1" customWidth="1"/>
    <col min="5370" max="5370" width="11.140625" style="1" bestFit="1" customWidth="1"/>
    <col min="5371" max="5371" width="13.85546875" style="1" bestFit="1" customWidth="1"/>
    <col min="5372" max="5372" width="3.7109375" style="1" bestFit="1" customWidth="1"/>
    <col min="5373" max="5373" width="7.5703125" style="1" bestFit="1" customWidth="1"/>
    <col min="5374" max="5374" width="16.7109375" style="1" bestFit="1" customWidth="1"/>
    <col min="5375" max="5376" width="12.28515625" style="1" bestFit="1" customWidth="1"/>
    <col min="5377" max="5621" width="11.42578125" style="1"/>
    <col min="5622" max="5622" width="0.7109375" style="1" customWidth="1"/>
    <col min="5623" max="5623" width="42.28515625" style="1" bestFit="1" customWidth="1"/>
    <col min="5624" max="5625" width="13.85546875" style="1" bestFit="1" customWidth="1"/>
    <col min="5626" max="5626" width="11.140625" style="1" bestFit="1" customWidth="1"/>
    <col min="5627" max="5627" width="13.85546875" style="1" bestFit="1" customWidth="1"/>
    <col min="5628" max="5628" width="3.7109375" style="1" bestFit="1" customWidth="1"/>
    <col min="5629" max="5629" width="7.5703125" style="1" bestFit="1" customWidth="1"/>
    <col min="5630" max="5630" width="16.7109375" style="1" bestFit="1" customWidth="1"/>
    <col min="5631" max="5632" width="12.28515625" style="1" bestFit="1" customWidth="1"/>
    <col min="5633" max="5877" width="11.42578125" style="1"/>
    <col min="5878" max="5878" width="0.7109375" style="1" customWidth="1"/>
    <col min="5879" max="5879" width="42.28515625" style="1" bestFit="1" customWidth="1"/>
    <col min="5880" max="5881" width="13.85546875" style="1" bestFit="1" customWidth="1"/>
    <col min="5882" max="5882" width="11.140625" style="1" bestFit="1" customWidth="1"/>
    <col min="5883" max="5883" width="13.85546875" style="1" bestFit="1" customWidth="1"/>
    <col min="5884" max="5884" width="3.7109375" style="1" bestFit="1" customWidth="1"/>
    <col min="5885" max="5885" width="7.5703125" style="1" bestFit="1" customWidth="1"/>
    <col min="5886" max="5886" width="16.7109375" style="1" bestFit="1" customWidth="1"/>
    <col min="5887" max="5888" width="12.28515625" style="1" bestFit="1" customWidth="1"/>
    <col min="5889" max="6133" width="11.42578125" style="1"/>
    <col min="6134" max="6134" width="0.7109375" style="1" customWidth="1"/>
    <col min="6135" max="6135" width="42.28515625" style="1" bestFit="1" customWidth="1"/>
    <col min="6136" max="6137" width="13.85546875" style="1" bestFit="1" customWidth="1"/>
    <col min="6138" max="6138" width="11.140625" style="1" bestFit="1" customWidth="1"/>
    <col min="6139" max="6139" width="13.85546875" style="1" bestFit="1" customWidth="1"/>
    <col min="6140" max="6140" width="3.7109375" style="1" bestFit="1" customWidth="1"/>
    <col min="6141" max="6141" width="7.5703125" style="1" bestFit="1" customWidth="1"/>
    <col min="6142" max="6142" width="16.7109375" style="1" bestFit="1" customWidth="1"/>
    <col min="6143" max="6144" width="12.28515625" style="1" bestFit="1" customWidth="1"/>
    <col min="6145" max="6389" width="11.42578125" style="1"/>
    <col min="6390" max="6390" width="0.7109375" style="1" customWidth="1"/>
    <col min="6391" max="6391" width="42.28515625" style="1" bestFit="1" customWidth="1"/>
    <col min="6392" max="6393" width="13.85546875" style="1" bestFit="1" customWidth="1"/>
    <col min="6394" max="6394" width="11.140625" style="1" bestFit="1" customWidth="1"/>
    <col min="6395" max="6395" width="13.85546875" style="1" bestFit="1" customWidth="1"/>
    <col min="6396" max="6396" width="3.7109375" style="1" bestFit="1" customWidth="1"/>
    <col min="6397" max="6397" width="7.5703125" style="1" bestFit="1" customWidth="1"/>
    <col min="6398" max="6398" width="16.7109375" style="1" bestFit="1" customWidth="1"/>
    <col min="6399" max="6400" width="12.28515625" style="1" bestFit="1" customWidth="1"/>
    <col min="6401" max="6645" width="11.42578125" style="1"/>
    <col min="6646" max="6646" width="0.7109375" style="1" customWidth="1"/>
    <col min="6647" max="6647" width="42.28515625" style="1" bestFit="1" customWidth="1"/>
    <col min="6648" max="6649" width="13.85546875" style="1" bestFit="1" customWidth="1"/>
    <col min="6650" max="6650" width="11.140625" style="1" bestFit="1" customWidth="1"/>
    <col min="6651" max="6651" width="13.85546875" style="1" bestFit="1" customWidth="1"/>
    <col min="6652" max="6652" width="3.7109375" style="1" bestFit="1" customWidth="1"/>
    <col min="6653" max="6653" width="7.5703125" style="1" bestFit="1" customWidth="1"/>
    <col min="6654" max="6654" width="16.7109375" style="1" bestFit="1" customWidth="1"/>
    <col min="6655" max="6656" width="12.28515625" style="1" bestFit="1" customWidth="1"/>
    <col min="6657" max="6901" width="11.42578125" style="1"/>
    <col min="6902" max="6902" width="0.7109375" style="1" customWidth="1"/>
    <col min="6903" max="6903" width="42.28515625" style="1" bestFit="1" customWidth="1"/>
    <col min="6904" max="6905" width="13.85546875" style="1" bestFit="1" customWidth="1"/>
    <col min="6906" max="6906" width="11.140625" style="1" bestFit="1" customWidth="1"/>
    <col min="6907" max="6907" width="13.85546875" style="1" bestFit="1" customWidth="1"/>
    <col min="6908" max="6908" width="3.7109375" style="1" bestFit="1" customWidth="1"/>
    <col min="6909" max="6909" width="7.5703125" style="1" bestFit="1" customWidth="1"/>
    <col min="6910" max="6910" width="16.7109375" style="1" bestFit="1" customWidth="1"/>
    <col min="6911" max="6912" width="12.28515625" style="1" bestFit="1" customWidth="1"/>
    <col min="6913" max="7157" width="11.42578125" style="1"/>
    <col min="7158" max="7158" width="0.7109375" style="1" customWidth="1"/>
    <col min="7159" max="7159" width="42.28515625" style="1" bestFit="1" customWidth="1"/>
    <col min="7160" max="7161" width="13.85546875" style="1" bestFit="1" customWidth="1"/>
    <col min="7162" max="7162" width="11.140625" style="1" bestFit="1" customWidth="1"/>
    <col min="7163" max="7163" width="13.85546875" style="1" bestFit="1" customWidth="1"/>
    <col min="7164" max="7164" width="3.7109375" style="1" bestFit="1" customWidth="1"/>
    <col min="7165" max="7165" width="7.5703125" style="1" bestFit="1" customWidth="1"/>
    <col min="7166" max="7166" width="16.7109375" style="1" bestFit="1" customWidth="1"/>
    <col min="7167" max="7168" width="12.28515625" style="1" bestFit="1" customWidth="1"/>
    <col min="7169" max="7413" width="11.42578125" style="1"/>
    <col min="7414" max="7414" width="0.7109375" style="1" customWidth="1"/>
    <col min="7415" max="7415" width="42.28515625" style="1" bestFit="1" customWidth="1"/>
    <col min="7416" max="7417" width="13.85546875" style="1" bestFit="1" customWidth="1"/>
    <col min="7418" max="7418" width="11.140625" style="1" bestFit="1" customWidth="1"/>
    <col min="7419" max="7419" width="13.85546875" style="1" bestFit="1" customWidth="1"/>
    <col min="7420" max="7420" width="3.7109375" style="1" bestFit="1" customWidth="1"/>
    <col min="7421" max="7421" width="7.5703125" style="1" bestFit="1" customWidth="1"/>
    <col min="7422" max="7422" width="16.7109375" style="1" bestFit="1" customWidth="1"/>
    <col min="7423" max="7424" width="12.28515625" style="1" bestFit="1" customWidth="1"/>
    <col min="7425" max="7669" width="11.42578125" style="1"/>
    <col min="7670" max="7670" width="0.7109375" style="1" customWidth="1"/>
    <col min="7671" max="7671" width="42.28515625" style="1" bestFit="1" customWidth="1"/>
    <col min="7672" max="7673" width="13.85546875" style="1" bestFit="1" customWidth="1"/>
    <col min="7674" max="7674" width="11.140625" style="1" bestFit="1" customWidth="1"/>
    <col min="7675" max="7675" width="13.85546875" style="1" bestFit="1" customWidth="1"/>
    <col min="7676" max="7676" width="3.7109375" style="1" bestFit="1" customWidth="1"/>
    <col min="7677" max="7677" width="7.5703125" style="1" bestFit="1" customWidth="1"/>
    <col min="7678" max="7678" width="16.7109375" style="1" bestFit="1" customWidth="1"/>
    <col min="7679" max="7680" width="12.28515625" style="1" bestFit="1" customWidth="1"/>
    <col min="7681" max="7925" width="11.42578125" style="1"/>
    <col min="7926" max="7926" width="0.7109375" style="1" customWidth="1"/>
    <col min="7927" max="7927" width="42.28515625" style="1" bestFit="1" customWidth="1"/>
    <col min="7928" max="7929" width="13.85546875" style="1" bestFit="1" customWidth="1"/>
    <col min="7930" max="7930" width="11.140625" style="1" bestFit="1" customWidth="1"/>
    <col min="7931" max="7931" width="13.85546875" style="1" bestFit="1" customWidth="1"/>
    <col min="7932" max="7932" width="3.7109375" style="1" bestFit="1" customWidth="1"/>
    <col min="7933" max="7933" width="7.5703125" style="1" bestFit="1" customWidth="1"/>
    <col min="7934" max="7934" width="16.7109375" style="1" bestFit="1" customWidth="1"/>
    <col min="7935" max="7936" width="12.28515625" style="1" bestFit="1" customWidth="1"/>
    <col min="7937" max="8181" width="11.42578125" style="1"/>
    <col min="8182" max="8182" width="0.7109375" style="1" customWidth="1"/>
    <col min="8183" max="8183" width="42.28515625" style="1" bestFit="1" customWidth="1"/>
    <col min="8184" max="8185" width="13.85546875" style="1" bestFit="1" customWidth="1"/>
    <col min="8186" max="8186" width="11.140625" style="1" bestFit="1" customWidth="1"/>
    <col min="8187" max="8187" width="13.85546875" style="1" bestFit="1" customWidth="1"/>
    <col min="8188" max="8188" width="3.7109375" style="1" bestFit="1" customWidth="1"/>
    <col min="8189" max="8189" width="7.5703125" style="1" bestFit="1" customWidth="1"/>
    <col min="8190" max="8190" width="16.7109375" style="1" bestFit="1" customWidth="1"/>
    <col min="8191" max="8192" width="12.28515625" style="1" bestFit="1" customWidth="1"/>
    <col min="8193" max="8437" width="11.42578125" style="1"/>
    <col min="8438" max="8438" width="0.7109375" style="1" customWidth="1"/>
    <col min="8439" max="8439" width="42.28515625" style="1" bestFit="1" customWidth="1"/>
    <col min="8440" max="8441" width="13.85546875" style="1" bestFit="1" customWidth="1"/>
    <col min="8442" max="8442" width="11.140625" style="1" bestFit="1" customWidth="1"/>
    <col min="8443" max="8443" width="13.85546875" style="1" bestFit="1" customWidth="1"/>
    <col min="8444" max="8444" width="3.7109375" style="1" bestFit="1" customWidth="1"/>
    <col min="8445" max="8445" width="7.5703125" style="1" bestFit="1" customWidth="1"/>
    <col min="8446" max="8446" width="16.7109375" style="1" bestFit="1" customWidth="1"/>
    <col min="8447" max="8448" width="12.28515625" style="1" bestFit="1" customWidth="1"/>
    <col min="8449" max="8693" width="11.42578125" style="1"/>
    <col min="8694" max="8694" width="0.7109375" style="1" customWidth="1"/>
    <col min="8695" max="8695" width="42.28515625" style="1" bestFit="1" customWidth="1"/>
    <col min="8696" max="8697" width="13.85546875" style="1" bestFit="1" customWidth="1"/>
    <col min="8698" max="8698" width="11.140625" style="1" bestFit="1" customWidth="1"/>
    <col min="8699" max="8699" width="13.85546875" style="1" bestFit="1" customWidth="1"/>
    <col min="8700" max="8700" width="3.7109375" style="1" bestFit="1" customWidth="1"/>
    <col min="8701" max="8701" width="7.5703125" style="1" bestFit="1" customWidth="1"/>
    <col min="8702" max="8702" width="16.7109375" style="1" bestFit="1" customWidth="1"/>
    <col min="8703" max="8704" width="12.28515625" style="1" bestFit="1" customWidth="1"/>
    <col min="8705" max="8949" width="11.42578125" style="1"/>
    <col min="8950" max="8950" width="0.7109375" style="1" customWidth="1"/>
    <col min="8951" max="8951" width="42.28515625" style="1" bestFit="1" customWidth="1"/>
    <col min="8952" max="8953" width="13.85546875" style="1" bestFit="1" customWidth="1"/>
    <col min="8954" max="8954" width="11.140625" style="1" bestFit="1" customWidth="1"/>
    <col min="8955" max="8955" width="13.85546875" style="1" bestFit="1" customWidth="1"/>
    <col min="8956" max="8956" width="3.7109375" style="1" bestFit="1" customWidth="1"/>
    <col min="8957" max="8957" width="7.5703125" style="1" bestFit="1" customWidth="1"/>
    <col min="8958" max="8958" width="16.7109375" style="1" bestFit="1" customWidth="1"/>
    <col min="8959" max="8960" width="12.28515625" style="1" bestFit="1" customWidth="1"/>
    <col min="8961" max="9205" width="11.42578125" style="1"/>
    <col min="9206" max="9206" width="0.7109375" style="1" customWidth="1"/>
    <col min="9207" max="9207" width="42.28515625" style="1" bestFit="1" customWidth="1"/>
    <col min="9208" max="9209" width="13.85546875" style="1" bestFit="1" customWidth="1"/>
    <col min="9210" max="9210" width="11.140625" style="1" bestFit="1" customWidth="1"/>
    <col min="9211" max="9211" width="13.85546875" style="1" bestFit="1" customWidth="1"/>
    <col min="9212" max="9212" width="3.7109375" style="1" bestFit="1" customWidth="1"/>
    <col min="9213" max="9213" width="7.5703125" style="1" bestFit="1" customWidth="1"/>
    <col min="9214" max="9214" width="16.7109375" style="1" bestFit="1" customWidth="1"/>
    <col min="9215" max="9216" width="12.28515625" style="1" bestFit="1" customWidth="1"/>
    <col min="9217" max="9461" width="11.42578125" style="1"/>
    <col min="9462" max="9462" width="0.7109375" style="1" customWidth="1"/>
    <col min="9463" max="9463" width="42.28515625" style="1" bestFit="1" customWidth="1"/>
    <col min="9464" max="9465" width="13.85546875" style="1" bestFit="1" customWidth="1"/>
    <col min="9466" max="9466" width="11.140625" style="1" bestFit="1" customWidth="1"/>
    <col min="9467" max="9467" width="13.85546875" style="1" bestFit="1" customWidth="1"/>
    <col min="9468" max="9468" width="3.7109375" style="1" bestFit="1" customWidth="1"/>
    <col min="9469" max="9469" width="7.5703125" style="1" bestFit="1" customWidth="1"/>
    <col min="9470" max="9470" width="16.7109375" style="1" bestFit="1" customWidth="1"/>
    <col min="9471" max="9472" width="12.28515625" style="1" bestFit="1" customWidth="1"/>
    <col min="9473" max="9717" width="11.42578125" style="1"/>
    <col min="9718" max="9718" width="0.7109375" style="1" customWidth="1"/>
    <col min="9719" max="9719" width="42.28515625" style="1" bestFit="1" customWidth="1"/>
    <col min="9720" max="9721" width="13.85546875" style="1" bestFit="1" customWidth="1"/>
    <col min="9722" max="9722" width="11.140625" style="1" bestFit="1" customWidth="1"/>
    <col min="9723" max="9723" width="13.85546875" style="1" bestFit="1" customWidth="1"/>
    <col min="9724" max="9724" width="3.7109375" style="1" bestFit="1" customWidth="1"/>
    <col min="9725" max="9725" width="7.5703125" style="1" bestFit="1" customWidth="1"/>
    <col min="9726" max="9726" width="16.7109375" style="1" bestFit="1" customWidth="1"/>
    <col min="9727" max="9728" width="12.28515625" style="1" bestFit="1" customWidth="1"/>
    <col min="9729" max="9973" width="11.42578125" style="1"/>
    <col min="9974" max="9974" width="0.7109375" style="1" customWidth="1"/>
    <col min="9975" max="9975" width="42.28515625" style="1" bestFit="1" customWidth="1"/>
    <col min="9976" max="9977" width="13.85546875" style="1" bestFit="1" customWidth="1"/>
    <col min="9978" max="9978" width="11.140625" style="1" bestFit="1" customWidth="1"/>
    <col min="9979" max="9979" width="13.85546875" style="1" bestFit="1" customWidth="1"/>
    <col min="9980" max="9980" width="3.7109375" style="1" bestFit="1" customWidth="1"/>
    <col min="9981" max="9981" width="7.5703125" style="1" bestFit="1" customWidth="1"/>
    <col min="9982" max="9982" width="16.7109375" style="1" bestFit="1" customWidth="1"/>
    <col min="9983" max="9984" width="12.28515625" style="1" bestFit="1" customWidth="1"/>
    <col min="9985" max="10229" width="11.42578125" style="1"/>
    <col min="10230" max="10230" width="0.7109375" style="1" customWidth="1"/>
    <col min="10231" max="10231" width="42.28515625" style="1" bestFit="1" customWidth="1"/>
    <col min="10232" max="10233" width="13.85546875" style="1" bestFit="1" customWidth="1"/>
    <col min="10234" max="10234" width="11.140625" style="1" bestFit="1" customWidth="1"/>
    <col min="10235" max="10235" width="13.85546875" style="1" bestFit="1" customWidth="1"/>
    <col min="10236" max="10236" width="3.7109375" style="1" bestFit="1" customWidth="1"/>
    <col min="10237" max="10237" width="7.5703125" style="1" bestFit="1" customWidth="1"/>
    <col min="10238" max="10238" width="16.7109375" style="1" bestFit="1" customWidth="1"/>
    <col min="10239" max="10240" width="12.28515625" style="1" bestFit="1" customWidth="1"/>
    <col min="10241" max="10485" width="11.42578125" style="1"/>
    <col min="10486" max="10486" width="0.7109375" style="1" customWidth="1"/>
    <col min="10487" max="10487" width="42.28515625" style="1" bestFit="1" customWidth="1"/>
    <col min="10488" max="10489" width="13.85546875" style="1" bestFit="1" customWidth="1"/>
    <col min="10490" max="10490" width="11.140625" style="1" bestFit="1" customWidth="1"/>
    <col min="10491" max="10491" width="13.85546875" style="1" bestFit="1" customWidth="1"/>
    <col min="10492" max="10492" width="3.7109375" style="1" bestFit="1" customWidth="1"/>
    <col min="10493" max="10493" width="7.5703125" style="1" bestFit="1" customWidth="1"/>
    <col min="10494" max="10494" width="16.7109375" style="1" bestFit="1" customWidth="1"/>
    <col min="10495" max="10496" width="12.28515625" style="1" bestFit="1" customWidth="1"/>
    <col min="10497" max="10741" width="11.42578125" style="1"/>
    <col min="10742" max="10742" width="0.7109375" style="1" customWidth="1"/>
    <col min="10743" max="10743" width="42.28515625" style="1" bestFit="1" customWidth="1"/>
    <col min="10744" max="10745" width="13.85546875" style="1" bestFit="1" customWidth="1"/>
    <col min="10746" max="10746" width="11.140625" style="1" bestFit="1" customWidth="1"/>
    <col min="10747" max="10747" width="13.85546875" style="1" bestFit="1" customWidth="1"/>
    <col min="10748" max="10748" width="3.7109375" style="1" bestFit="1" customWidth="1"/>
    <col min="10749" max="10749" width="7.5703125" style="1" bestFit="1" customWidth="1"/>
    <col min="10750" max="10750" width="16.7109375" style="1" bestFit="1" customWidth="1"/>
    <col min="10751" max="10752" width="12.28515625" style="1" bestFit="1" customWidth="1"/>
    <col min="10753" max="10997" width="11.42578125" style="1"/>
    <col min="10998" max="10998" width="0.7109375" style="1" customWidth="1"/>
    <col min="10999" max="10999" width="42.28515625" style="1" bestFit="1" customWidth="1"/>
    <col min="11000" max="11001" width="13.85546875" style="1" bestFit="1" customWidth="1"/>
    <col min="11002" max="11002" width="11.140625" style="1" bestFit="1" customWidth="1"/>
    <col min="11003" max="11003" width="13.85546875" style="1" bestFit="1" customWidth="1"/>
    <col min="11004" max="11004" width="3.7109375" style="1" bestFit="1" customWidth="1"/>
    <col min="11005" max="11005" width="7.5703125" style="1" bestFit="1" customWidth="1"/>
    <col min="11006" max="11006" width="16.7109375" style="1" bestFit="1" customWidth="1"/>
    <col min="11007" max="11008" width="12.28515625" style="1" bestFit="1" customWidth="1"/>
    <col min="11009" max="11253" width="11.42578125" style="1"/>
    <col min="11254" max="11254" width="0.7109375" style="1" customWidth="1"/>
    <col min="11255" max="11255" width="42.28515625" style="1" bestFit="1" customWidth="1"/>
    <col min="11256" max="11257" width="13.85546875" style="1" bestFit="1" customWidth="1"/>
    <col min="11258" max="11258" width="11.140625" style="1" bestFit="1" customWidth="1"/>
    <col min="11259" max="11259" width="13.85546875" style="1" bestFit="1" customWidth="1"/>
    <col min="11260" max="11260" width="3.7109375" style="1" bestFit="1" customWidth="1"/>
    <col min="11261" max="11261" width="7.5703125" style="1" bestFit="1" customWidth="1"/>
    <col min="11262" max="11262" width="16.7109375" style="1" bestFit="1" customWidth="1"/>
    <col min="11263" max="11264" width="12.28515625" style="1" bestFit="1" customWidth="1"/>
    <col min="11265" max="11509" width="11.42578125" style="1"/>
    <col min="11510" max="11510" width="0.7109375" style="1" customWidth="1"/>
    <col min="11511" max="11511" width="42.28515625" style="1" bestFit="1" customWidth="1"/>
    <col min="11512" max="11513" width="13.85546875" style="1" bestFit="1" customWidth="1"/>
    <col min="11514" max="11514" width="11.140625" style="1" bestFit="1" customWidth="1"/>
    <col min="11515" max="11515" width="13.85546875" style="1" bestFit="1" customWidth="1"/>
    <col min="11516" max="11516" width="3.7109375" style="1" bestFit="1" customWidth="1"/>
    <col min="11517" max="11517" width="7.5703125" style="1" bestFit="1" customWidth="1"/>
    <col min="11518" max="11518" width="16.7109375" style="1" bestFit="1" customWidth="1"/>
    <col min="11519" max="11520" width="12.28515625" style="1" bestFit="1" customWidth="1"/>
    <col min="11521" max="11765" width="11.42578125" style="1"/>
    <col min="11766" max="11766" width="0.7109375" style="1" customWidth="1"/>
    <col min="11767" max="11767" width="42.28515625" style="1" bestFit="1" customWidth="1"/>
    <col min="11768" max="11769" width="13.85546875" style="1" bestFit="1" customWidth="1"/>
    <col min="11770" max="11770" width="11.140625" style="1" bestFit="1" customWidth="1"/>
    <col min="11771" max="11771" width="13.85546875" style="1" bestFit="1" customWidth="1"/>
    <col min="11772" max="11772" width="3.7109375" style="1" bestFit="1" customWidth="1"/>
    <col min="11773" max="11773" width="7.5703125" style="1" bestFit="1" customWidth="1"/>
    <col min="11774" max="11774" width="16.7109375" style="1" bestFit="1" customWidth="1"/>
    <col min="11775" max="11776" width="12.28515625" style="1" bestFit="1" customWidth="1"/>
    <col min="11777" max="12021" width="11.42578125" style="1"/>
    <col min="12022" max="12022" width="0.7109375" style="1" customWidth="1"/>
    <col min="12023" max="12023" width="42.28515625" style="1" bestFit="1" customWidth="1"/>
    <col min="12024" max="12025" width="13.85546875" style="1" bestFit="1" customWidth="1"/>
    <col min="12026" max="12026" width="11.140625" style="1" bestFit="1" customWidth="1"/>
    <col min="12027" max="12027" width="13.85546875" style="1" bestFit="1" customWidth="1"/>
    <col min="12028" max="12028" width="3.7109375" style="1" bestFit="1" customWidth="1"/>
    <col min="12029" max="12029" width="7.5703125" style="1" bestFit="1" customWidth="1"/>
    <col min="12030" max="12030" width="16.7109375" style="1" bestFit="1" customWidth="1"/>
    <col min="12031" max="12032" width="12.28515625" style="1" bestFit="1" customWidth="1"/>
    <col min="12033" max="12277" width="11.42578125" style="1"/>
    <col min="12278" max="12278" width="0.7109375" style="1" customWidth="1"/>
    <col min="12279" max="12279" width="42.28515625" style="1" bestFit="1" customWidth="1"/>
    <col min="12280" max="12281" width="13.85546875" style="1" bestFit="1" customWidth="1"/>
    <col min="12282" max="12282" width="11.140625" style="1" bestFit="1" customWidth="1"/>
    <col min="12283" max="12283" width="13.85546875" style="1" bestFit="1" customWidth="1"/>
    <col min="12284" max="12284" width="3.7109375" style="1" bestFit="1" customWidth="1"/>
    <col min="12285" max="12285" width="7.5703125" style="1" bestFit="1" customWidth="1"/>
    <col min="12286" max="12286" width="16.7109375" style="1" bestFit="1" customWidth="1"/>
    <col min="12287" max="12288" width="12.28515625" style="1" bestFit="1" customWidth="1"/>
    <col min="12289" max="12533" width="11.42578125" style="1"/>
    <col min="12534" max="12534" width="0.7109375" style="1" customWidth="1"/>
    <col min="12535" max="12535" width="42.28515625" style="1" bestFit="1" customWidth="1"/>
    <col min="12536" max="12537" width="13.85546875" style="1" bestFit="1" customWidth="1"/>
    <col min="12538" max="12538" width="11.140625" style="1" bestFit="1" customWidth="1"/>
    <col min="12539" max="12539" width="13.85546875" style="1" bestFit="1" customWidth="1"/>
    <col min="12540" max="12540" width="3.7109375" style="1" bestFit="1" customWidth="1"/>
    <col min="12541" max="12541" width="7.5703125" style="1" bestFit="1" customWidth="1"/>
    <col min="12542" max="12542" width="16.7109375" style="1" bestFit="1" customWidth="1"/>
    <col min="12543" max="12544" width="12.28515625" style="1" bestFit="1" customWidth="1"/>
    <col min="12545" max="12789" width="11.42578125" style="1"/>
    <col min="12790" max="12790" width="0.7109375" style="1" customWidth="1"/>
    <col min="12791" max="12791" width="42.28515625" style="1" bestFit="1" customWidth="1"/>
    <col min="12792" max="12793" width="13.85546875" style="1" bestFit="1" customWidth="1"/>
    <col min="12794" max="12794" width="11.140625" style="1" bestFit="1" customWidth="1"/>
    <col min="12795" max="12795" width="13.85546875" style="1" bestFit="1" customWidth="1"/>
    <col min="12796" max="12796" width="3.7109375" style="1" bestFit="1" customWidth="1"/>
    <col min="12797" max="12797" width="7.5703125" style="1" bestFit="1" customWidth="1"/>
    <col min="12798" max="12798" width="16.7109375" style="1" bestFit="1" customWidth="1"/>
    <col min="12799" max="12800" width="12.28515625" style="1" bestFit="1" customWidth="1"/>
    <col min="12801" max="13045" width="11.42578125" style="1"/>
    <col min="13046" max="13046" width="0.7109375" style="1" customWidth="1"/>
    <col min="13047" max="13047" width="42.28515625" style="1" bestFit="1" customWidth="1"/>
    <col min="13048" max="13049" width="13.85546875" style="1" bestFit="1" customWidth="1"/>
    <col min="13050" max="13050" width="11.140625" style="1" bestFit="1" customWidth="1"/>
    <col min="13051" max="13051" width="13.85546875" style="1" bestFit="1" customWidth="1"/>
    <col min="13052" max="13052" width="3.7109375" style="1" bestFit="1" customWidth="1"/>
    <col min="13053" max="13053" width="7.5703125" style="1" bestFit="1" customWidth="1"/>
    <col min="13054" max="13054" width="16.7109375" style="1" bestFit="1" customWidth="1"/>
    <col min="13055" max="13056" width="12.28515625" style="1" bestFit="1" customWidth="1"/>
    <col min="13057" max="13301" width="11.42578125" style="1"/>
    <col min="13302" max="13302" width="0.7109375" style="1" customWidth="1"/>
    <col min="13303" max="13303" width="42.28515625" style="1" bestFit="1" customWidth="1"/>
    <col min="13304" max="13305" width="13.85546875" style="1" bestFit="1" customWidth="1"/>
    <col min="13306" max="13306" width="11.140625" style="1" bestFit="1" customWidth="1"/>
    <col min="13307" max="13307" width="13.85546875" style="1" bestFit="1" customWidth="1"/>
    <col min="13308" max="13308" width="3.7109375" style="1" bestFit="1" customWidth="1"/>
    <col min="13309" max="13309" width="7.5703125" style="1" bestFit="1" customWidth="1"/>
    <col min="13310" max="13310" width="16.7109375" style="1" bestFit="1" customWidth="1"/>
    <col min="13311" max="13312" width="12.28515625" style="1" bestFit="1" customWidth="1"/>
    <col min="13313" max="13557" width="11.42578125" style="1"/>
    <col min="13558" max="13558" width="0.7109375" style="1" customWidth="1"/>
    <col min="13559" max="13559" width="42.28515625" style="1" bestFit="1" customWidth="1"/>
    <col min="13560" max="13561" width="13.85546875" style="1" bestFit="1" customWidth="1"/>
    <col min="13562" max="13562" width="11.140625" style="1" bestFit="1" customWidth="1"/>
    <col min="13563" max="13563" width="13.85546875" style="1" bestFit="1" customWidth="1"/>
    <col min="13564" max="13564" width="3.7109375" style="1" bestFit="1" customWidth="1"/>
    <col min="13565" max="13565" width="7.5703125" style="1" bestFit="1" customWidth="1"/>
    <col min="13566" max="13566" width="16.7109375" style="1" bestFit="1" customWidth="1"/>
    <col min="13567" max="13568" width="12.28515625" style="1" bestFit="1" customWidth="1"/>
    <col min="13569" max="13813" width="11.42578125" style="1"/>
    <col min="13814" max="13814" width="0.7109375" style="1" customWidth="1"/>
    <col min="13815" max="13815" width="42.28515625" style="1" bestFit="1" customWidth="1"/>
    <col min="13816" max="13817" width="13.85546875" style="1" bestFit="1" customWidth="1"/>
    <col min="13818" max="13818" width="11.140625" style="1" bestFit="1" customWidth="1"/>
    <col min="13819" max="13819" width="13.85546875" style="1" bestFit="1" customWidth="1"/>
    <col min="13820" max="13820" width="3.7109375" style="1" bestFit="1" customWidth="1"/>
    <col min="13821" max="13821" width="7.5703125" style="1" bestFit="1" customWidth="1"/>
    <col min="13822" max="13822" width="16.7109375" style="1" bestFit="1" customWidth="1"/>
    <col min="13823" max="13824" width="12.28515625" style="1" bestFit="1" customWidth="1"/>
    <col min="13825" max="14069" width="11.42578125" style="1"/>
    <col min="14070" max="14070" width="0.7109375" style="1" customWidth="1"/>
    <col min="14071" max="14071" width="42.28515625" style="1" bestFit="1" customWidth="1"/>
    <col min="14072" max="14073" width="13.85546875" style="1" bestFit="1" customWidth="1"/>
    <col min="14074" max="14074" width="11.140625" style="1" bestFit="1" customWidth="1"/>
    <col min="14075" max="14075" width="13.85546875" style="1" bestFit="1" customWidth="1"/>
    <col min="14076" max="14076" width="3.7109375" style="1" bestFit="1" customWidth="1"/>
    <col min="14077" max="14077" width="7.5703125" style="1" bestFit="1" customWidth="1"/>
    <col min="14078" max="14078" width="16.7109375" style="1" bestFit="1" customWidth="1"/>
    <col min="14079" max="14080" width="12.28515625" style="1" bestFit="1" customWidth="1"/>
    <col min="14081" max="14325" width="11.42578125" style="1"/>
    <col min="14326" max="14326" width="0.7109375" style="1" customWidth="1"/>
    <col min="14327" max="14327" width="42.28515625" style="1" bestFit="1" customWidth="1"/>
    <col min="14328" max="14329" width="13.85546875" style="1" bestFit="1" customWidth="1"/>
    <col min="14330" max="14330" width="11.140625" style="1" bestFit="1" customWidth="1"/>
    <col min="14331" max="14331" width="13.85546875" style="1" bestFit="1" customWidth="1"/>
    <col min="14332" max="14332" width="3.7109375" style="1" bestFit="1" customWidth="1"/>
    <col min="14333" max="14333" width="7.5703125" style="1" bestFit="1" customWidth="1"/>
    <col min="14334" max="14334" width="16.7109375" style="1" bestFit="1" customWidth="1"/>
    <col min="14335" max="14336" width="12.28515625" style="1" bestFit="1" customWidth="1"/>
    <col min="14337" max="14581" width="11.42578125" style="1"/>
    <col min="14582" max="14582" width="0.7109375" style="1" customWidth="1"/>
    <col min="14583" max="14583" width="42.28515625" style="1" bestFit="1" customWidth="1"/>
    <col min="14584" max="14585" width="13.85546875" style="1" bestFit="1" customWidth="1"/>
    <col min="14586" max="14586" width="11.140625" style="1" bestFit="1" customWidth="1"/>
    <col min="14587" max="14587" width="13.85546875" style="1" bestFit="1" customWidth="1"/>
    <col min="14588" max="14588" width="3.7109375" style="1" bestFit="1" customWidth="1"/>
    <col min="14589" max="14589" width="7.5703125" style="1" bestFit="1" customWidth="1"/>
    <col min="14590" max="14590" width="16.7109375" style="1" bestFit="1" customWidth="1"/>
    <col min="14591" max="14592" width="12.28515625" style="1" bestFit="1" customWidth="1"/>
    <col min="14593" max="14837" width="11.42578125" style="1"/>
    <col min="14838" max="14838" width="0.7109375" style="1" customWidth="1"/>
    <col min="14839" max="14839" width="42.28515625" style="1" bestFit="1" customWidth="1"/>
    <col min="14840" max="14841" width="13.85546875" style="1" bestFit="1" customWidth="1"/>
    <col min="14842" max="14842" width="11.140625" style="1" bestFit="1" customWidth="1"/>
    <col min="14843" max="14843" width="13.85546875" style="1" bestFit="1" customWidth="1"/>
    <col min="14844" max="14844" width="3.7109375" style="1" bestFit="1" customWidth="1"/>
    <col min="14845" max="14845" width="7.5703125" style="1" bestFit="1" customWidth="1"/>
    <col min="14846" max="14846" width="16.7109375" style="1" bestFit="1" customWidth="1"/>
    <col min="14847" max="14848" width="12.28515625" style="1" bestFit="1" customWidth="1"/>
    <col min="14849" max="15093" width="11.42578125" style="1"/>
    <col min="15094" max="15094" width="0.7109375" style="1" customWidth="1"/>
    <col min="15095" max="15095" width="42.28515625" style="1" bestFit="1" customWidth="1"/>
    <col min="15096" max="15097" width="13.85546875" style="1" bestFit="1" customWidth="1"/>
    <col min="15098" max="15098" width="11.140625" style="1" bestFit="1" customWidth="1"/>
    <col min="15099" max="15099" width="13.85546875" style="1" bestFit="1" customWidth="1"/>
    <col min="15100" max="15100" width="3.7109375" style="1" bestFit="1" customWidth="1"/>
    <col min="15101" max="15101" width="7.5703125" style="1" bestFit="1" customWidth="1"/>
    <col min="15102" max="15102" width="16.7109375" style="1" bestFit="1" customWidth="1"/>
    <col min="15103" max="15104" width="12.28515625" style="1" bestFit="1" customWidth="1"/>
    <col min="15105" max="15349" width="11.42578125" style="1"/>
    <col min="15350" max="15350" width="0.7109375" style="1" customWidth="1"/>
    <col min="15351" max="15351" width="42.28515625" style="1" bestFit="1" customWidth="1"/>
    <col min="15352" max="15353" width="13.85546875" style="1" bestFit="1" customWidth="1"/>
    <col min="15354" max="15354" width="11.140625" style="1" bestFit="1" customWidth="1"/>
    <col min="15355" max="15355" width="13.85546875" style="1" bestFit="1" customWidth="1"/>
    <col min="15356" max="15356" width="3.7109375" style="1" bestFit="1" customWidth="1"/>
    <col min="15357" max="15357" width="7.5703125" style="1" bestFit="1" customWidth="1"/>
    <col min="15358" max="15358" width="16.7109375" style="1" bestFit="1" customWidth="1"/>
    <col min="15359" max="15360" width="12.28515625" style="1" bestFit="1" customWidth="1"/>
    <col min="15361" max="15605" width="11.42578125" style="1"/>
    <col min="15606" max="15606" width="0.7109375" style="1" customWidth="1"/>
    <col min="15607" max="15607" width="42.28515625" style="1" bestFit="1" customWidth="1"/>
    <col min="15608" max="15609" width="13.85546875" style="1" bestFit="1" customWidth="1"/>
    <col min="15610" max="15610" width="11.140625" style="1" bestFit="1" customWidth="1"/>
    <col min="15611" max="15611" width="13.85546875" style="1" bestFit="1" customWidth="1"/>
    <col min="15612" max="15612" width="3.7109375" style="1" bestFit="1" customWidth="1"/>
    <col min="15613" max="15613" width="7.5703125" style="1" bestFit="1" customWidth="1"/>
    <col min="15614" max="15614" width="16.7109375" style="1" bestFit="1" customWidth="1"/>
    <col min="15615" max="15616" width="12.28515625" style="1" bestFit="1" customWidth="1"/>
    <col min="15617" max="15861" width="11.42578125" style="1"/>
    <col min="15862" max="15862" width="0.7109375" style="1" customWidth="1"/>
    <col min="15863" max="15863" width="42.28515625" style="1" bestFit="1" customWidth="1"/>
    <col min="15864" max="15865" width="13.85546875" style="1" bestFit="1" customWidth="1"/>
    <col min="15866" max="15866" width="11.140625" style="1" bestFit="1" customWidth="1"/>
    <col min="15867" max="15867" width="13.85546875" style="1" bestFit="1" customWidth="1"/>
    <col min="15868" max="15868" width="3.7109375" style="1" bestFit="1" customWidth="1"/>
    <col min="15869" max="15869" width="7.5703125" style="1" bestFit="1" customWidth="1"/>
    <col min="15870" max="15870" width="16.7109375" style="1" bestFit="1" customWidth="1"/>
    <col min="15871" max="15872" width="12.28515625" style="1" bestFit="1" customWidth="1"/>
    <col min="15873" max="16117" width="11.42578125" style="1"/>
    <col min="16118" max="16118" width="0.7109375" style="1" customWidth="1"/>
    <col min="16119" max="16119" width="42.28515625" style="1" bestFit="1" customWidth="1"/>
    <col min="16120" max="16121" width="13.85546875" style="1" bestFit="1" customWidth="1"/>
    <col min="16122" max="16122" width="11.140625" style="1" bestFit="1" customWidth="1"/>
    <col min="16123" max="16123" width="13.85546875" style="1" bestFit="1" customWidth="1"/>
    <col min="16124" max="16124" width="3.7109375" style="1" bestFit="1" customWidth="1"/>
    <col min="16125" max="16125" width="7.5703125" style="1" bestFit="1" customWidth="1"/>
    <col min="16126" max="16126" width="16.7109375" style="1" bestFit="1" customWidth="1"/>
    <col min="16127" max="16128" width="12.28515625" style="1" bestFit="1" customWidth="1"/>
    <col min="16129" max="16358" width="11.42578125" style="1"/>
    <col min="16359" max="16382" width="11.42578125" style="1" customWidth="1"/>
    <col min="16383" max="16384" width="11.42578125" style="1"/>
  </cols>
  <sheetData>
    <row r="2" spans="2:29" x14ac:dyDescent="0.25">
      <c r="B2" s="366" t="s">
        <v>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2:29" x14ac:dyDescent="0.25">
      <c r="B3" s="366" t="s">
        <v>1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2:29" x14ac:dyDescent="0.25">
      <c r="B4" s="366" t="s">
        <v>2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2:29" x14ac:dyDescent="0.25"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2:29" ht="16.5" thickBot="1" x14ac:dyDescent="0.3">
      <c r="B6" s="369" t="s">
        <v>89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</row>
    <row r="7" spans="2:29" x14ac:dyDescent="0.25">
      <c r="B7" s="360" t="s">
        <v>3</v>
      </c>
      <c r="C7" s="235" t="s">
        <v>90</v>
      </c>
      <c r="D7" s="236" t="s">
        <v>91</v>
      </c>
      <c r="E7" s="237" t="s">
        <v>92</v>
      </c>
      <c r="F7" s="237" t="s">
        <v>93</v>
      </c>
      <c r="G7" s="237" t="s">
        <v>94</v>
      </c>
      <c r="H7" s="237" t="s">
        <v>54</v>
      </c>
      <c r="I7" s="237" t="s">
        <v>51</v>
      </c>
      <c r="J7" s="237" t="s">
        <v>55</v>
      </c>
      <c r="K7" s="238" t="s">
        <v>52</v>
      </c>
      <c r="L7" s="238" t="s">
        <v>95</v>
      </c>
      <c r="M7" s="238" t="s">
        <v>95</v>
      </c>
      <c r="N7" s="239" t="s">
        <v>96</v>
      </c>
      <c r="P7" s="111" t="s">
        <v>97</v>
      </c>
      <c r="Q7" s="110" t="s">
        <v>98</v>
      </c>
      <c r="R7" s="110" t="s">
        <v>99</v>
      </c>
      <c r="S7" s="110" t="s">
        <v>100</v>
      </c>
      <c r="T7" s="111" t="s">
        <v>56</v>
      </c>
      <c r="U7" s="111" t="s">
        <v>53</v>
      </c>
      <c r="V7" s="111" t="s">
        <v>101</v>
      </c>
    </row>
    <row r="8" spans="2:29" ht="15.6" customHeight="1" thickBot="1" x14ac:dyDescent="0.3">
      <c r="B8" s="361"/>
      <c r="C8" s="240" t="s">
        <v>102</v>
      </c>
      <c r="D8" s="241" t="s">
        <v>103</v>
      </c>
      <c r="E8" s="242" t="s">
        <v>104</v>
      </c>
      <c r="F8" s="242" t="s">
        <v>104</v>
      </c>
      <c r="G8" s="242" t="s">
        <v>105</v>
      </c>
      <c r="H8" s="242" t="s">
        <v>104</v>
      </c>
      <c r="I8" s="242" t="s">
        <v>105</v>
      </c>
      <c r="J8" s="242" t="s">
        <v>104</v>
      </c>
      <c r="K8" s="242" t="s">
        <v>104</v>
      </c>
      <c r="L8" s="243" t="s">
        <v>106</v>
      </c>
      <c r="M8" s="243" t="s">
        <v>122</v>
      </c>
      <c r="N8" s="244" t="s">
        <v>108</v>
      </c>
      <c r="P8" s="116" t="s">
        <v>53</v>
      </c>
      <c r="Q8" s="117" t="s">
        <v>53</v>
      </c>
      <c r="R8" s="117" t="s">
        <v>53</v>
      </c>
      <c r="S8" s="118" t="s">
        <v>53</v>
      </c>
      <c r="T8" s="116" t="s">
        <v>109</v>
      </c>
      <c r="U8" s="116" t="s">
        <v>108</v>
      </c>
      <c r="V8" s="116" t="s">
        <v>110</v>
      </c>
    </row>
    <row r="9" spans="2:29" x14ac:dyDescent="0.25">
      <c r="B9" s="18" t="s">
        <v>7</v>
      </c>
      <c r="C9" s="245">
        <f>SUM(C10:C13)</f>
        <v>10672638758.052338</v>
      </c>
      <c r="D9" s="246">
        <f t="shared" ref="D9:K9" si="0">SUM(D10:D13)</f>
        <v>814112424</v>
      </c>
      <c r="E9" s="247">
        <f t="shared" si="0"/>
        <v>0</v>
      </c>
      <c r="F9" s="248">
        <f t="shared" si="0"/>
        <v>10000000</v>
      </c>
      <c r="G9" s="248">
        <f t="shared" si="0"/>
        <v>0</v>
      </c>
      <c r="H9" s="248">
        <f t="shared" si="0"/>
        <v>0</v>
      </c>
      <c r="I9" s="248">
        <f t="shared" si="0"/>
        <v>0</v>
      </c>
      <c r="J9" s="248">
        <f t="shared" si="0"/>
        <v>157259579</v>
      </c>
      <c r="K9" s="248">
        <f t="shared" si="0"/>
        <v>38690000</v>
      </c>
      <c r="L9" s="249"/>
      <c r="M9" s="250"/>
      <c r="N9" s="251">
        <f>SUM(N10:N13)</f>
        <v>11692700761.052338</v>
      </c>
      <c r="P9" s="126">
        <f t="shared" ref="P9:T9" si="1">SUM(P10:P13)</f>
        <v>1470111817</v>
      </c>
      <c r="Q9" s="127">
        <f t="shared" si="1"/>
        <v>1216494985</v>
      </c>
      <c r="R9" s="127">
        <f t="shared" si="1"/>
        <v>1260817268</v>
      </c>
      <c r="S9" s="128">
        <f>SUM(S10:S13)</f>
        <v>1492381665.25</v>
      </c>
      <c r="T9" s="126">
        <f t="shared" si="1"/>
        <v>5656257277.8000002</v>
      </c>
      <c r="U9" s="125">
        <f>SUM(U10:U13)</f>
        <v>11096063013.049999</v>
      </c>
      <c r="V9" s="129">
        <f>SUM(V10:V13)</f>
        <v>596637748.00233746</v>
      </c>
      <c r="X9" s="130"/>
      <c r="Y9" s="130"/>
      <c r="AB9" s="131"/>
      <c r="AC9" s="130"/>
    </row>
    <row r="10" spans="2:29" x14ac:dyDescent="0.25">
      <c r="B10" s="3" t="s">
        <v>8</v>
      </c>
      <c r="C10" s="252">
        <v>5533809852</v>
      </c>
      <c r="D10" s="253"/>
      <c r="E10" s="254">
        <v>0</v>
      </c>
      <c r="F10" s="255"/>
      <c r="G10" s="255"/>
      <c r="H10" s="255"/>
      <c r="I10" s="255"/>
      <c r="J10" s="255"/>
      <c r="K10" s="255"/>
      <c r="L10" s="254"/>
      <c r="M10" s="256"/>
      <c r="N10" s="257">
        <f>SUM(C10:M10)</f>
        <v>5533809852</v>
      </c>
      <c r="P10" s="137">
        <v>1352655201</v>
      </c>
      <c r="Q10" s="138">
        <v>1183029752</v>
      </c>
      <c r="R10" s="139">
        <v>1237846824</v>
      </c>
      <c r="S10" s="140">
        <v>1156468611</v>
      </c>
      <c r="T10" s="141">
        <f>10+1</f>
        <v>11</v>
      </c>
      <c r="U10" s="137">
        <f>SUM(P10:T10)</f>
        <v>4930000399</v>
      </c>
      <c r="V10" s="140">
        <f>+N10-U10</f>
        <v>603809453</v>
      </c>
      <c r="X10" s="130"/>
      <c r="Y10" s="130"/>
      <c r="Z10" s="130"/>
      <c r="AB10" s="131"/>
      <c r="AC10" s="130"/>
    </row>
    <row r="11" spans="2:29" x14ac:dyDescent="0.25">
      <c r="B11" s="3" t="s">
        <v>49</v>
      </c>
      <c r="C11" s="252">
        <v>113390147</v>
      </c>
      <c r="D11" s="253"/>
      <c r="E11" s="254">
        <v>0</v>
      </c>
      <c r="F11" s="255"/>
      <c r="G11" s="255"/>
      <c r="H11" s="255"/>
      <c r="I11" s="255"/>
      <c r="J11" s="255">
        <v>89259579</v>
      </c>
      <c r="K11" s="255">
        <v>24510000</v>
      </c>
      <c r="L11" s="254"/>
      <c r="M11" s="256"/>
      <c r="N11" s="257">
        <f t="shared" ref="N11:N13" si="2">SUM(C11:M11)</f>
        <v>227159726</v>
      </c>
      <c r="P11" s="141">
        <v>82600649</v>
      </c>
      <c r="Q11" s="138">
        <v>19365985</v>
      </c>
      <c r="R11" s="139">
        <v>10873371</v>
      </c>
      <c r="S11" s="142">
        <v>110764764</v>
      </c>
      <c r="T11" s="141"/>
      <c r="U11" s="137">
        <f t="shared" ref="U11:U13" si="3">SUM(P11:T11)</f>
        <v>223604769</v>
      </c>
      <c r="V11" s="140">
        <f>+N11-U11</f>
        <v>3554957</v>
      </c>
      <c r="X11" s="130"/>
      <c r="Y11" s="130"/>
      <c r="Z11" s="130"/>
      <c r="AB11" s="131"/>
      <c r="AC11" s="130"/>
    </row>
    <row r="12" spans="2:29" x14ac:dyDescent="0.25">
      <c r="B12" s="3" t="s">
        <v>9</v>
      </c>
      <c r="C12" s="258">
        <v>50000000</v>
      </c>
      <c r="D12" s="259"/>
      <c r="E12" s="260">
        <v>0</v>
      </c>
      <c r="F12" s="261">
        <v>10000000</v>
      </c>
      <c r="G12" s="261"/>
      <c r="H12" s="261"/>
      <c r="I12" s="261"/>
      <c r="J12" s="261">
        <v>68000000</v>
      </c>
      <c r="K12" s="261">
        <v>14180000</v>
      </c>
      <c r="L12" s="260"/>
      <c r="M12" s="262"/>
      <c r="N12" s="257">
        <f t="shared" si="2"/>
        <v>142180000</v>
      </c>
      <c r="P12" s="137">
        <v>34855967</v>
      </c>
      <c r="Q12" s="138">
        <v>14099248</v>
      </c>
      <c r="R12" s="139">
        <v>12097073</v>
      </c>
      <c r="S12" s="142">
        <v>91854374</v>
      </c>
      <c r="T12" s="141">
        <v>0</v>
      </c>
      <c r="U12" s="137">
        <f t="shared" si="3"/>
        <v>152906662</v>
      </c>
      <c r="V12" s="140">
        <f>+N12-U12</f>
        <v>-10726662</v>
      </c>
      <c r="X12" s="130"/>
      <c r="Y12" s="130"/>
      <c r="Z12" s="130"/>
      <c r="AB12" s="131"/>
      <c r="AC12" s="130"/>
    </row>
    <row r="13" spans="2:29" x14ac:dyDescent="0.25">
      <c r="B13" s="3" t="s">
        <v>10</v>
      </c>
      <c r="C13" s="258">
        <v>4975438759.0523376</v>
      </c>
      <c r="D13" s="259">
        <v>814112424</v>
      </c>
      <c r="E13" s="260">
        <v>0</v>
      </c>
      <c r="F13" s="261"/>
      <c r="G13" s="261"/>
      <c r="H13" s="261"/>
      <c r="I13" s="261"/>
      <c r="J13" s="261"/>
      <c r="K13" s="261"/>
      <c r="L13" s="260"/>
      <c r="M13" s="262"/>
      <c r="N13" s="257">
        <f t="shared" si="2"/>
        <v>5789551183.0523376</v>
      </c>
      <c r="P13" s="137">
        <v>0</v>
      </c>
      <c r="Q13" s="138"/>
      <c r="R13" s="139"/>
      <c r="S13" s="142">
        <v>133293916.25</v>
      </c>
      <c r="T13" s="141">
        <v>5656257266.8000002</v>
      </c>
      <c r="U13" s="137">
        <f t="shared" si="3"/>
        <v>5789551183.0500002</v>
      </c>
      <c r="V13" s="140">
        <f>+N13-U13</f>
        <v>2.3374557495117188E-3</v>
      </c>
      <c r="X13" s="130"/>
      <c r="Y13" s="130"/>
      <c r="Z13" s="130"/>
      <c r="AB13" s="131"/>
      <c r="AC13" s="130"/>
    </row>
    <row r="14" spans="2:29" x14ac:dyDescent="0.25">
      <c r="B14" s="2" t="s">
        <v>11</v>
      </c>
      <c r="C14" s="263">
        <f>+SUM(C15:C16)</f>
        <v>75578375</v>
      </c>
      <c r="D14" s="264">
        <f t="shared" ref="D14:J14" si="4">+SUM(D15:D16)</f>
        <v>0</v>
      </c>
      <c r="E14" s="265">
        <f t="shared" si="4"/>
        <v>0</v>
      </c>
      <c r="F14" s="266">
        <f t="shared" si="4"/>
        <v>180000000</v>
      </c>
      <c r="G14" s="266">
        <f t="shared" si="4"/>
        <v>0</v>
      </c>
      <c r="H14" s="266">
        <f t="shared" si="4"/>
        <v>0</v>
      </c>
      <c r="I14" s="266">
        <f t="shared" ref="I14" si="5">+SUM(I15:I16)</f>
        <v>0</v>
      </c>
      <c r="J14" s="266">
        <f t="shared" si="4"/>
        <v>0</v>
      </c>
      <c r="K14" s="266">
        <f t="shared" ref="K14" si="6">+SUM(K15:K16)</f>
        <v>6643000</v>
      </c>
      <c r="L14" s="265"/>
      <c r="M14" s="267"/>
      <c r="N14" s="268">
        <f>+SUM(N15:N16)</f>
        <v>262221375</v>
      </c>
      <c r="P14" s="153">
        <f t="shared" ref="P14:T14" si="7">+SUM(P15:P16)</f>
        <v>64134552</v>
      </c>
      <c r="Q14" s="154">
        <f t="shared" si="7"/>
        <v>66143174</v>
      </c>
      <c r="R14" s="154">
        <f t="shared" si="7"/>
        <v>50099449</v>
      </c>
      <c r="S14" s="155">
        <f t="shared" si="7"/>
        <v>41894307</v>
      </c>
      <c r="T14" s="153">
        <f t="shared" si="7"/>
        <v>0</v>
      </c>
      <c r="U14" s="153">
        <f>+SUM(U15:U16)</f>
        <v>222271482</v>
      </c>
      <c r="V14" s="156">
        <f>+SUM(V15:V16)</f>
        <v>39949893</v>
      </c>
      <c r="X14" s="130"/>
      <c r="Y14" s="130"/>
      <c r="Z14" s="130"/>
      <c r="AB14" s="131"/>
      <c r="AC14" s="130"/>
    </row>
    <row r="15" spans="2:29" x14ac:dyDescent="0.25">
      <c r="B15" s="3" t="s">
        <v>12</v>
      </c>
      <c r="C15" s="252">
        <v>3000000</v>
      </c>
      <c r="D15" s="253"/>
      <c r="E15" s="254"/>
      <c r="F15" s="255">
        <v>0</v>
      </c>
      <c r="G15" s="255"/>
      <c r="H15" s="255"/>
      <c r="I15" s="255"/>
      <c r="J15" s="255"/>
      <c r="K15" s="255">
        <v>6643000</v>
      </c>
      <c r="L15" s="254"/>
      <c r="M15" s="256"/>
      <c r="N15" s="269">
        <f t="shared" ref="N15:N16" si="8">SUM(C15:M15)</f>
        <v>9643000</v>
      </c>
      <c r="P15" s="141">
        <v>799181</v>
      </c>
      <c r="Q15" s="138">
        <v>543539</v>
      </c>
      <c r="R15" s="138">
        <v>751980</v>
      </c>
      <c r="S15" s="142">
        <v>8695703</v>
      </c>
      <c r="T15" s="141" t="s">
        <v>111</v>
      </c>
      <c r="U15" s="137">
        <f t="shared" ref="U15:U16" si="9">SUM(P15:T15)</f>
        <v>10790403</v>
      </c>
      <c r="V15" s="140">
        <f>+N15-U15</f>
        <v>-1147403</v>
      </c>
      <c r="X15" s="130"/>
      <c r="Y15" s="130"/>
      <c r="Z15" s="130"/>
      <c r="AB15" s="131"/>
      <c r="AC15" s="130"/>
    </row>
    <row r="16" spans="2:29" x14ac:dyDescent="0.25">
      <c r="B16" s="3" t="s">
        <v>13</v>
      </c>
      <c r="C16" s="252">
        <v>72578375</v>
      </c>
      <c r="D16" s="253"/>
      <c r="E16" s="254"/>
      <c r="F16" s="255">
        <v>180000000</v>
      </c>
      <c r="G16" s="255"/>
      <c r="H16" s="255"/>
      <c r="I16" s="255"/>
      <c r="J16" s="255"/>
      <c r="K16" s="255"/>
      <c r="L16" s="254"/>
      <c r="M16" s="256"/>
      <c r="N16" s="269">
        <f t="shared" si="8"/>
        <v>252578375</v>
      </c>
      <c r="P16" s="141">
        <v>63335371</v>
      </c>
      <c r="Q16" s="138">
        <v>65599635</v>
      </c>
      <c r="R16" s="138">
        <v>49347469</v>
      </c>
      <c r="S16" s="142">
        <v>33198604</v>
      </c>
      <c r="T16" s="141"/>
      <c r="U16" s="137">
        <f t="shared" si="9"/>
        <v>211481079</v>
      </c>
      <c r="V16" s="140">
        <f>+N16-U16</f>
        <v>41097296</v>
      </c>
      <c r="X16" s="130"/>
      <c r="Y16" s="130"/>
      <c r="Z16" s="130"/>
      <c r="AB16" s="131"/>
      <c r="AC16" s="130"/>
    </row>
    <row r="17" spans="2:29" x14ac:dyDescent="0.25">
      <c r="B17" s="2" t="s">
        <v>14</v>
      </c>
      <c r="C17" s="263">
        <f>SUM(C9+C14)</f>
        <v>10748217133.052338</v>
      </c>
      <c r="D17" s="264">
        <f t="shared" ref="D17:M17" si="10">SUM(D9+D14)</f>
        <v>814112424</v>
      </c>
      <c r="E17" s="265">
        <f t="shared" si="10"/>
        <v>0</v>
      </c>
      <c r="F17" s="266">
        <f t="shared" si="10"/>
        <v>190000000</v>
      </c>
      <c r="G17" s="266">
        <f t="shared" si="10"/>
        <v>0</v>
      </c>
      <c r="H17" s="266">
        <f t="shared" si="10"/>
        <v>0</v>
      </c>
      <c r="I17" s="266">
        <f t="shared" si="10"/>
        <v>0</v>
      </c>
      <c r="J17" s="266">
        <f t="shared" si="10"/>
        <v>157259579</v>
      </c>
      <c r="K17" s="266">
        <f t="shared" si="10"/>
        <v>45333000</v>
      </c>
      <c r="L17" s="265">
        <f t="shared" si="10"/>
        <v>0</v>
      </c>
      <c r="M17" s="266">
        <f t="shared" si="10"/>
        <v>0</v>
      </c>
      <c r="N17" s="268">
        <f>SUM(N9+N14)</f>
        <v>11954922136.052338</v>
      </c>
      <c r="P17" s="153">
        <f t="shared" ref="P17:T17" si="11">SUM(P9+P14)</f>
        <v>1534246369</v>
      </c>
      <c r="Q17" s="154">
        <f t="shared" si="11"/>
        <v>1282638159</v>
      </c>
      <c r="R17" s="154">
        <f t="shared" si="11"/>
        <v>1310916717</v>
      </c>
      <c r="S17" s="155">
        <f t="shared" si="11"/>
        <v>1534275972.25</v>
      </c>
      <c r="T17" s="153">
        <f t="shared" si="11"/>
        <v>5656257277.8000002</v>
      </c>
      <c r="U17" s="153">
        <f>SUM(U9+U14)</f>
        <v>11318334495.049999</v>
      </c>
      <c r="V17" s="156">
        <f>SUM(V9+V14)</f>
        <v>636587641.00233746</v>
      </c>
      <c r="X17" s="130"/>
      <c r="Y17" s="130"/>
      <c r="AB17" s="131"/>
      <c r="AC17" s="130"/>
    </row>
    <row r="18" spans="2:29" x14ac:dyDescent="0.25">
      <c r="B18" s="4" t="s">
        <v>15</v>
      </c>
      <c r="C18" s="263"/>
      <c r="D18" s="264"/>
      <c r="E18" s="265"/>
      <c r="F18" s="266"/>
      <c r="G18" s="266"/>
      <c r="H18" s="266"/>
      <c r="I18" s="266"/>
      <c r="J18" s="266"/>
      <c r="K18" s="266"/>
      <c r="L18" s="265"/>
      <c r="M18" s="266"/>
      <c r="N18" s="268"/>
      <c r="P18" s="153"/>
      <c r="Q18" s="154"/>
      <c r="R18" s="154"/>
      <c r="S18" s="155"/>
      <c r="T18" s="153"/>
      <c r="U18" s="153"/>
      <c r="V18" s="156"/>
      <c r="X18" s="130"/>
      <c r="Y18" s="130"/>
      <c r="AB18" s="131"/>
      <c r="AC18" s="130"/>
    </row>
    <row r="19" spans="2:29" x14ac:dyDescent="0.25">
      <c r="B19" s="5" t="s">
        <v>16</v>
      </c>
      <c r="C19" s="263">
        <f>+C20+C32</f>
        <v>1039987526</v>
      </c>
      <c r="D19" s="264">
        <f t="shared" ref="D19:M19" si="12">+D20+D32</f>
        <v>0</v>
      </c>
      <c r="E19" s="265">
        <f t="shared" si="12"/>
        <v>13040863.488</v>
      </c>
      <c r="F19" s="266">
        <f t="shared" si="12"/>
        <v>9702500</v>
      </c>
      <c r="G19" s="266">
        <f t="shared" si="12"/>
        <v>0</v>
      </c>
      <c r="H19" s="266">
        <f t="shared" si="12"/>
        <v>0</v>
      </c>
      <c r="I19" s="266">
        <f t="shared" si="12"/>
        <v>-142194935</v>
      </c>
      <c r="J19" s="266">
        <f t="shared" si="12"/>
        <v>0</v>
      </c>
      <c r="K19" s="266">
        <f t="shared" si="12"/>
        <v>0</v>
      </c>
      <c r="L19" s="265">
        <f t="shared" si="12"/>
        <v>0</v>
      </c>
      <c r="M19" s="266">
        <f t="shared" si="12"/>
        <v>0</v>
      </c>
      <c r="N19" s="268">
        <f>+N20+N32</f>
        <v>920535954.48799992</v>
      </c>
      <c r="P19" s="153">
        <f t="shared" ref="P19:T19" si="13">+P20+P32</f>
        <v>220440845</v>
      </c>
      <c r="Q19" s="154">
        <f t="shared" si="13"/>
        <v>189396541</v>
      </c>
      <c r="R19" s="154">
        <f t="shared" si="13"/>
        <v>194028165</v>
      </c>
      <c r="S19" s="155">
        <f t="shared" si="13"/>
        <v>239158378</v>
      </c>
      <c r="T19" s="153">
        <f t="shared" si="13"/>
        <v>0</v>
      </c>
      <c r="U19" s="153">
        <f>+U20+U32</f>
        <v>843023929</v>
      </c>
      <c r="V19" s="156">
        <f>+V20+V32</f>
        <v>77512025.488000005</v>
      </c>
      <c r="X19" s="130"/>
      <c r="Y19" s="130"/>
      <c r="AB19" s="131"/>
      <c r="AC19" s="130"/>
    </row>
    <row r="20" spans="2:29" x14ac:dyDescent="0.25">
      <c r="B20" s="6" t="s">
        <v>17</v>
      </c>
      <c r="C20" s="263">
        <f>SUM(C21:C31)</f>
        <v>662663636</v>
      </c>
      <c r="D20" s="264">
        <f t="shared" ref="D20:K20" si="14">SUM(D21:D31)</f>
        <v>0</v>
      </c>
      <c r="E20" s="265">
        <f t="shared" si="14"/>
        <v>2741678.4879999994</v>
      </c>
      <c r="F20" s="266">
        <f t="shared" si="14"/>
        <v>0</v>
      </c>
      <c r="G20" s="266">
        <f t="shared" si="14"/>
        <v>0</v>
      </c>
      <c r="H20" s="266">
        <f t="shared" si="14"/>
        <v>0</v>
      </c>
      <c r="I20" s="266">
        <f t="shared" si="14"/>
        <v>-2412899</v>
      </c>
      <c r="J20" s="266">
        <f t="shared" si="14"/>
        <v>0</v>
      </c>
      <c r="K20" s="266">
        <f t="shared" si="14"/>
        <v>0</v>
      </c>
      <c r="L20" s="265">
        <f>SUM(L21:L31)</f>
        <v>0</v>
      </c>
      <c r="M20" s="266">
        <f>SUM(M21:M31)</f>
        <v>0</v>
      </c>
      <c r="N20" s="268">
        <f>SUM(N21:N31)</f>
        <v>662992415.48799992</v>
      </c>
      <c r="P20" s="153">
        <f t="shared" ref="P20:T20" si="15">SUM(P21:P31)</f>
        <v>158816379</v>
      </c>
      <c r="Q20" s="154">
        <f t="shared" si="15"/>
        <v>162368474</v>
      </c>
      <c r="R20" s="154">
        <f t="shared" si="15"/>
        <v>158307815</v>
      </c>
      <c r="S20" s="155">
        <f t="shared" si="15"/>
        <v>166715489</v>
      </c>
      <c r="T20" s="153">
        <f t="shared" si="15"/>
        <v>0</v>
      </c>
      <c r="U20" s="153">
        <f>SUM(U21:U31)</f>
        <v>646208157</v>
      </c>
      <c r="V20" s="156">
        <f>SUM(V21:V31)</f>
        <v>16784258.487999998</v>
      </c>
      <c r="X20" s="130"/>
      <c r="Y20" s="130"/>
      <c r="AB20" s="131"/>
      <c r="AC20" s="130"/>
    </row>
    <row r="21" spans="2:29" x14ac:dyDescent="0.25">
      <c r="B21" s="7" t="s">
        <v>18</v>
      </c>
      <c r="C21" s="252">
        <v>357754192</v>
      </c>
      <c r="D21" s="270"/>
      <c r="E21" s="271">
        <v>1106101</v>
      </c>
      <c r="F21" s="272"/>
      <c r="G21" s="272"/>
      <c r="H21" s="272"/>
      <c r="I21" s="272">
        <v>0</v>
      </c>
      <c r="J21" s="272"/>
      <c r="K21" s="272"/>
      <c r="L21" s="271">
        <v>-692045</v>
      </c>
      <c r="M21" s="273">
        <v>-153459</v>
      </c>
      <c r="N21" s="274">
        <f t="shared" ref="N21:N31" si="16">SUM(C21:M21)</f>
        <v>358014789</v>
      </c>
      <c r="P21" s="161">
        <v>81596155</v>
      </c>
      <c r="Q21" s="162">
        <v>89981816</v>
      </c>
      <c r="R21" s="162">
        <v>87765211</v>
      </c>
      <c r="S21" s="142">
        <v>89321896</v>
      </c>
      <c r="T21" s="141"/>
      <c r="U21" s="137">
        <f t="shared" ref="U21:U31" si="17">SUM(P21:T21)</f>
        <v>348665078</v>
      </c>
      <c r="V21" s="140">
        <f t="shared" ref="V21:V31" si="18">+N21-U21</f>
        <v>9349711</v>
      </c>
      <c r="X21" s="130"/>
      <c r="Y21" s="130"/>
      <c r="AB21" s="131"/>
      <c r="AC21" s="130"/>
    </row>
    <row r="22" spans="2:29" x14ac:dyDescent="0.25">
      <c r="B22" s="7" t="s">
        <v>19</v>
      </c>
      <c r="C22" s="252">
        <v>14471663</v>
      </c>
      <c r="D22" s="253"/>
      <c r="E22" s="254">
        <v>41951</v>
      </c>
      <c r="F22" s="255"/>
      <c r="G22" s="255"/>
      <c r="H22" s="255"/>
      <c r="I22" s="255">
        <v>0</v>
      </c>
      <c r="J22" s="255"/>
      <c r="K22" s="255"/>
      <c r="L22" s="254">
        <v>685543</v>
      </c>
      <c r="M22" s="273">
        <v>153459</v>
      </c>
      <c r="N22" s="269">
        <f t="shared" si="16"/>
        <v>15352616</v>
      </c>
      <c r="P22" s="141">
        <v>3428988</v>
      </c>
      <c r="Q22" s="138">
        <v>3795674</v>
      </c>
      <c r="R22" s="138">
        <v>4344106</v>
      </c>
      <c r="S22" s="142">
        <v>3758539</v>
      </c>
      <c r="T22" s="141"/>
      <c r="U22" s="137">
        <f t="shared" si="17"/>
        <v>15327307</v>
      </c>
      <c r="V22" s="140">
        <f t="shared" si="18"/>
        <v>25309</v>
      </c>
      <c r="X22" s="130"/>
      <c r="Y22" s="130"/>
      <c r="AB22" s="131"/>
      <c r="AC22" s="130"/>
    </row>
    <row r="23" spans="2:29" x14ac:dyDescent="0.25">
      <c r="B23" s="8" t="s">
        <v>20</v>
      </c>
      <c r="C23" s="252">
        <v>3657621</v>
      </c>
      <c r="D23" s="253"/>
      <c r="E23" s="254">
        <v>34834.48799999943</v>
      </c>
      <c r="F23" s="255"/>
      <c r="G23" s="255"/>
      <c r="H23" s="255"/>
      <c r="I23" s="255">
        <v>0</v>
      </c>
      <c r="J23" s="255"/>
      <c r="K23" s="255"/>
      <c r="L23" s="254">
        <v>1</v>
      </c>
      <c r="M23" s="256"/>
      <c r="N23" s="269">
        <f t="shared" si="16"/>
        <v>3692456.4879999994</v>
      </c>
      <c r="P23" s="137">
        <v>839974</v>
      </c>
      <c r="Q23" s="138">
        <v>925686</v>
      </c>
      <c r="R23" s="138">
        <v>925686</v>
      </c>
      <c r="S23" s="142">
        <v>918829</v>
      </c>
      <c r="T23" s="141"/>
      <c r="U23" s="137">
        <f t="shared" si="17"/>
        <v>3610175</v>
      </c>
      <c r="V23" s="140">
        <f t="shared" si="18"/>
        <v>82281.48799999943</v>
      </c>
      <c r="X23" s="130"/>
      <c r="Y23" s="130"/>
      <c r="AB23" s="131"/>
      <c r="AC23" s="130"/>
    </row>
    <row r="24" spans="2:29" x14ac:dyDescent="0.25">
      <c r="B24" s="7" t="s">
        <v>21</v>
      </c>
      <c r="C24" s="252">
        <v>29248130</v>
      </c>
      <c r="D24" s="253"/>
      <c r="E24" s="254">
        <v>86796</v>
      </c>
      <c r="F24" s="255"/>
      <c r="G24" s="255"/>
      <c r="H24" s="255"/>
      <c r="I24" s="255">
        <v>0</v>
      </c>
      <c r="J24" s="255"/>
      <c r="K24" s="255"/>
      <c r="L24" s="254"/>
      <c r="M24" s="256"/>
      <c r="N24" s="269">
        <f t="shared" si="16"/>
        <v>29334926</v>
      </c>
      <c r="P24" s="141">
        <v>6655103</v>
      </c>
      <c r="Q24" s="138">
        <v>7394261</v>
      </c>
      <c r="R24" s="138">
        <v>7394260</v>
      </c>
      <c r="S24" s="142">
        <v>7319424</v>
      </c>
      <c r="T24" s="141"/>
      <c r="U24" s="137">
        <f t="shared" si="17"/>
        <v>28763048</v>
      </c>
      <c r="V24" s="140">
        <f t="shared" si="18"/>
        <v>571878</v>
      </c>
      <c r="X24" s="130"/>
      <c r="Y24" s="130"/>
      <c r="AB24" s="131"/>
      <c r="AC24" s="130"/>
    </row>
    <row r="25" spans="2:29" x14ac:dyDescent="0.25">
      <c r="B25" s="7" t="s">
        <v>22</v>
      </c>
      <c r="C25" s="252">
        <v>114424000</v>
      </c>
      <c r="D25" s="253"/>
      <c r="E25" s="254">
        <v>259200</v>
      </c>
      <c r="F25" s="255"/>
      <c r="G25" s="255"/>
      <c r="H25" s="255"/>
      <c r="I25" s="255">
        <v>-2400000</v>
      </c>
      <c r="J25" s="255"/>
      <c r="K25" s="255"/>
      <c r="L25" s="254"/>
      <c r="M25" s="256"/>
      <c r="N25" s="269">
        <f t="shared" si="16"/>
        <v>112283200</v>
      </c>
      <c r="P25" s="141">
        <v>35020800</v>
      </c>
      <c r="Q25" s="138">
        <v>22420800</v>
      </c>
      <c r="R25" s="138">
        <v>22420800</v>
      </c>
      <c r="S25" s="142">
        <v>28670800</v>
      </c>
      <c r="T25" s="141"/>
      <c r="U25" s="137">
        <f t="shared" si="17"/>
        <v>108533200</v>
      </c>
      <c r="V25" s="140">
        <f t="shared" si="18"/>
        <v>3750000</v>
      </c>
      <c r="X25" s="130"/>
      <c r="Y25" s="130"/>
      <c r="AB25" s="131"/>
      <c r="AC25" s="130"/>
    </row>
    <row r="26" spans="2:29" x14ac:dyDescent="0.25">
      <c r="B26" s="7" t="s">
        <v>23</v>
      </c>
      <c r="C26" s="252">
        <v>2115900</v>
      </c>
      <c r="D26" s="253"/>
      <c r="E26" s="254">
        <v>786000</v>
      </c>
      <c r="F26" s="255"/>
      <c r="G26" s="255"/>
      <c r="H26" s="255"/>
      <c r="I26" s="255">
        <v>-12899</v>
      </c>
      <c r="J26" s="255"/>
      <c r="K26" s="255"/>
      <c r="L26" s="254"/>
      <c r="M26" s="256"/>
      <c r="N26" s="269">
        <f t="shared" si="16"/>
        <v>2889001</v>
      </c>
      <c r="P26" s="141">
        <v>0</v>
      </c>
      <c r="Q26" s="138">
        <v>2889001</v>
      </c>
      <c r="R26" s="138"/>
      <c r="S26" s="142">
        <v>0</v>
      </c>
      <c r="T26" s="141"/>
      <c r="U26" s="137">
        <f t="shared" si="17"/>
        <v>2889001</v>
      </c>
      <c r="V26" s="140">
        <f t="shared" si="18"/>
        <v>0</v>
      </c>
      <c r="X26" s="130"/>
      <c r="Y26" s="130"/>
      <c r="AB26" s="131"/>
      <c r="AC26" s="130"/>
    </row>
    <row r="27" spans="2:29" x14ac:dyDescent="0.25">
      <c r="B27" s="7" t="s">
        <v>24</v>
      </c>
      <c r="C27" s="252">
        <v>29248130</v>
      </c>
      <c r="D27" s="253"/>
      <c r="E27" s="254">
        <v>86796</v>
      </c>
      <c r="F27" s="255"/>
      <c r="G27" s="255"/>
      <c r="H27" s="255"/>
      <c r="I27" s="255">
        <v>0</v>
      </c>
      <c r="J27" s="255"/>
      <c r="K27" s="255"/>
      <c r="L27" s="254">
        <v>1</v>
      </c>
      <c r="M27" s="256"/>
      <c r="N27" s="269">
        <f t="shared" si="16"/>
        <v>29334927</v>
      </c>
      <c r="P27" s="141">
        <v>6784926</v>
      </c>
      <c r="Q27" s="138">
        <v>7394260</v>
      </c>
      <c r="R27" s="138">
        <v>7394261</v>
      </c>
      <c r="S27" s="142">
        <v>7319420</v>
      </c>
      <c r="T27" s="141">
        <v>1</v>
      </c>
      <c r="U27" s="137">
        <f t="shared" si="17"/>
        <v>28892868</v>
      </c>
      <c r="V27" s="140">
        <f t="shared" si="18"/>
        <v>442059</v>
      </c>
      <c r="X27" s="130"/>
      <c r="Y27" s="130"/>
      <c r="Z27" s="15"/>
      <c r="AA27" s="15"/>
      <c r="AB27" s="131"/>
      <c r="AC27" s="130"/>
    </row>
    <row r="28" spans="2:29" x14ac:dyDescent="0.25">
      <c r="B28" s="7" t="s">
        <v>25</v>
      </c>
      <c r="C28" s="252">
        <v>3510000</v>
      </c>
      <c r="D28" s="253"/>
      <c r="E28" s="254">
        <v>13000</v>
      </c>
      <c r="F28" s="255"/>
      <c r="G28" s="255"/>
      <c r="H28" s="255"/>
      <c r="I28" s="255">
        <v>0</v>
      </c>
      <c r="J28" s="255"/>
      <c r="K28" s="255"/>
      <c r="L28" s="254"/>
      <c r="M28" s="256"/>
      <c r="N28" s="269">
        <f t="shared" si="16"/>
        <v>3523000</v>
      </c>
      <c r="P28" s="141">
        <v>187725</v>
      </c>
      <c r="Q28" s="138">
        <v>628920</v>
      </c>
      <c r="R28" s="138">
        <v>1050577</v>
      </c>
      <c r="S28" s="142">
        <v>1432609</v>
      </c>
      <c r="T28" s="141">
        <v>-1</v>
      </c>
      <c r="U28" s="137">
        <f t="shared" si="17"/>
        <v>3299830</v>
      </c>
      <c r="V28" s="140">
        <f t="shared" si="18"/>
        <v>223170</v>
      </c>
      <c r="X28" s="130"/>
      <c r="Y28" s="130"/>
      <c r="Z28" s="15"/>
      <c r="AA28" s="163"/>
      <c r="AB28" s="131"/>
      <c r="AC28" s="130"/>
    </row>
    <row r="29" spans="2:29" x14ac:dyDescent="0.25">
      <c r="B29" s="7" t="s">
        <v>26</v>
      </c>
      <c r="C29" s="252">
        <v>75675000</v>
      </c>
      <c r="D29" s="253"/>
      <c r="E29" s="254">
        <v>231000</v>
      </c>
      <c r="F29" s="255"/>
      <c r="G29" s="255"/>
      <c r="H29" s="255"/>
      <c r="I29" s="255">
        <v>0</v>
      </c>
      <c r="J29" s="255"/>
      <c r="K29" s="255"/>
      <c r="L29" s="254"/>
      <c r="M29" s="256"/>
      <c r="N29" s="269">
        <f t="shared" si="16"/>
        <v>75906000</v>
      </c>
      <c r="P29" s="141">
        <v>17184708</v>
      </c>
      <c r="Q29" s="138">
        <v>19041356</v>
      </c>
      <c r="R29" s="138">
        <v>19105514</v>
      </c>
      <c r="S29" s="142">
        <v>18888372</v>
      </c>
      <c r="T29" s="141"/>
      <c r="U29" s="137">
        <f t="shared" si="17"/>
        <v>74219950</v>
      </c>
      <c r="V29" s="140">
        <f t="shared" si="18"/>
        <v>1686050</v>
      </c>
      <c r="X29" s="130"/>
      <c r="Y29" s="130"/>
      <c r="AB29" s="131"/>
      <c r="AC29" s="130"/>
    </row>
    <row r="30" spans="2:29" x14ac:dyDescent="0.25">
      <c r="B30" s="7" t="s">
        <v>27</v>
      </c>
      <c r="C30" s="252">
        <v>14470000</v>
      </c>
      <c r="D30" s="253"/>
      <c r="E30" s="254">
        <v>42000</v>
      </c>
      <c r="F30" s="255"/>
      <c r="G30" s="255"/>
      <c r="H30" s="255"/>
      <c r="I30" s="255">
        <v>0</v>
      </c>
      <c r="J30" s="255"/>
      <c r="K30" s="255"/>
      <c r="L30" s="254"/>
      <c r="M30" s="256"/>
      <c r="N30" s="269">
        <f t="shared" si="16"/>
        <v>14512000</v>
      </c>
      <c r="P30" s="141">
        <v>3162900</v>
      </c>
      <c r="Q30" s="138">
        <v>3509300</v>
      </c>
      <c r="R30" s="138">
        <v>3513900</v>
      </c>
      <c r="S30" s="142">
        <v>4037300</v>
      </c>
      <c r="T30" s="141"/>
      <c r="U30" s="137">
        <f t="shared" si="17"/>
        <v>14223400</v>
      </c>
      <c r="V30" s="140">
        <f t="shared" si="18"/>
        <v>288600</v>
      </c>
      <c r="X30" s="130"/>
      <c r="Y30" s="130"/>
      <c r="AB30" s="131"/>
      <c r="AC30" s="130"/>
    </row>
    <row r="31" spans="2:29" x14ac:dyDescent="0.25">
      <c r="B31" s="7" t="s">
        <v>28</v>
      </c>
      <c r="C31" s="252">
        <v>18089000</v>
      </c>
      <c r="D31" s="275"/>
      <c r="E31" s="276">
        <v>54000</v>
      </c>
      <c r="F31" s="277"/>
      <c r="G31" s="277"/>
      <c r="H31" s="277"/>
      <c r="I31" s="277">
        <v>0</v>
      </c>
      <c r="J31" s="277"/>
      <c r="K31" s="277"/>
      <c r="L31" s="276">
        <v>6500</v>
      </c>
      <c r="M31" s="278"/>
      <c r="N31" s="279">
        <f t="shared" si="16"/>
        <v>18149500</v>
      </c>
      <c r="P31" s="168">
        <v>3955100</v>
      </c>
      <c r="Q31" s="169">
        <v>4387400</v>
      </c>
      <c r="R31" s="169">
        <v>4393500</v>
      </c>
      <c r="S31" s="142">
        <v>5048300</v>
      </c>
      <c r="T31" s="141"/>
      <c r="U31" s="137">
        <f t="shared" si="17"/>
        <v>17784300</v>
      </c>
      <c r="V31" s="140">
        <f t="shared" si="18"/>
        <v>365200</v>
      </c>
      <c r="X31" s="130"/>
      <c r="Y31" s="130"/>
      <c r="AB31" s="131"/>
      <c r="AC31" s="130"/>
    </row>
    <row r="32" spans="2:29" x14ac:dyDescent="0.25">
      <c r="B32" s="6" t="s">
        <v>29</v>
      </c>
      <c r="C32" s="263">
        <f t="shared" ref="C32:N32" si="19">SUM(C33:C47)</f>
        <v>377323890</v>
      </c>
      <c r="D32" s="264">
        <f t="shared" si="19"/>
        <v>0</v>
      </c>
      <c r="E32" s="265">
        <f t="shared" si="19"/>
        <v>10299185</v>
      </c>
      <c r="F32" s="266">
        <f t="shared" si="19"/>
        <v>9702500</v>
      </c>
      <c r="G32" s="266">
        <f t="shared" si="19"/>
        <v>0</v>
      </c>
      <c r="H32" s="266">
        <f t="shared" si="19"/>
        <v>0</v>
      </c>
      <c r="I32" s="266">
        <f t="shared" si="19"/>
        <v>-139782036</v>
      </c>
      <c r="J32" s="266">
        <f t="shared" si="19"/>
        <v>0</v>
      </c>
      <c r="K32" s="266">
        <f t="shared" si="19"/>
        <v>0</v>
      </c>
      <c r="L32" s="265"/>
      <c r="M32" s="267"/>
      <c r="N32" s="280">
        <f t="shared" si="19"/>
        <v>257543539</v>
      </c>
      <c r="P32" s="153">
        <f t="shared" ref="P32:T32" si="20">SUM(P33:P47)</f>
        <v>61624466</v>
      </c>
      <c r="Q32" s="154">
        <f t="shared" si="20"/>
        <v>27028067</v>
      </c>
      <c r="R32" s="154">
        <f t="shared" si="20"/>
        <v>35720350</v>
      </c>
      <c r="S32" s="155">
        <f t="shared" si="20"/>
        <v>72442889</v>
      </c>
      <c r="T32" s="153">
        <f t="shared" si="20"/>
        <v>0</v>
      </c>
      <c r="U32" s="170">
        <f>SUM(U33:U47)</f>
        <v>196815772</v>
      </c>
      <c r="V32" s="171">
        <f>SUM(V33:V47)</f>
        <v>60727767</v>
      </c>
      <c r="X32" s="130"/>
      <c r="Y32" s="130"/>
      <c r="AB32" s="131"/>
      <c r="AC32" s="130"/>
    </row>
    <row r="33" spans="2:29" x14ac:dyDescent="0.25">
      <c r="B33" s="7" t="s">
        <v>64</v>
      </c>
      <c r="C33" s="252">
        <v>20325944</v>
      </c>
      <c r="D33" s="270"/>
      <c r="E33" s="271">
        <v>9005866</v>
      </c>
      <c r="F33" s="272"/>
      <c r="G33" s="272"/>
      <c r="H33" s="272"/>
      <c r="I33" s="272">
        <v>-2273403</v>
      </c>
      <c r="J33" s="272"/>
      <c r="K33" s="272"/>
      <c r="L33" s="271"/>
      <c r="M33" s="281"/>
      <c r="N33" s="274">
        <f t="shared" ref="N33:N47" si="21">SUM(C33:M33)</f>
        <v>27058407</v>
      </c>
      <c r="P33" s="161">
        <v>9976702</v>
      </c>
      <c r="Q33" s="162">
        <v>9070305</v>
      </c>
      <c r="R33" s="162">
        <v>2310000</v>
      </c>
      <c r="S33" s="142">
        <v>5390000</v>
      </c>
      <c r="T33" s="141"/>
      <c r="U33" s="137">
        <f>SUM(P33:T33)</f>
        <v>26747007</v>
      </c>
      <c r="V33" s="140">
        <f>+N33-U33</f>
        <v>311400</v>
      </c>
      <c r="X33" s="130"/>
      <c r="Y33" s="130"/>
      <c r="AB33" s="131"/>
      <c r="AC33" s="130"/>
    </row>
    <row r="34" spans="2:29" x14ac:dyDescent="0.25">
      <c r="B34" s="7" t="s">
        <v>30</v>
      </c>
      <c r="C34" s="252">
        <v>0</v>
      </c>
      <c r="D34" s="253"/>
      <c r="E34" s="254">
        <v>0</v>
      </c>
      <c r="F34" s="255"/>
      <c r="G34" s="255"/>
      <c r="H34" s="255"/>
      <c r="I34" s="255">
        <v>0</v>
      </c>
      <c r="J34" s="255"/>
      <c r="K34" s="255"/>
      <c r="L34" s="254"/>
      <c r="M34" s="256"/>
      <c r="N34" s="269">
        <f t="shared" si="21"/>
        <v>0</v>
      </c>
      <c r="P34" s="141">
        <v>0</v>
      </c>
      <c r="Q34" s="138"/>
      <c r="R34" s="138"/>
      <c r="S34" s="142"/>
      <c r="T34" s="141"/>
      <c r="U34" s="137">
        <f t="shared" ref="U34:U47" si="22">SUM(P34:T34)</f>
        <v>0</v>
      </c>
      <c r="V34" s="140">
        <f t="shared" ref="V34:V47" si="23">+N34-U34</f>
        <v>0</v>
      </c>
      <c r="X34" s="130"/>
      <c r="Y34" s="130"/>
      <c r="AB34" s="131"/>
      <c r="AC34" s="130"/>
    </row>
    <row r="35" spans="2:29" x14ac:dyDescent="0.25">
      <c r="B35" s="7" t="s">
        <v>31</v>
      </c>
      <c r="C35" s="252">
        <v>15578690</v>
      </c>
      <c r="D35" s="253"/>
      <c r="E35" s="254">
        <v>575676</v>
      </c>
      <c r="F35" s="255"/>
      <c r="G35" s="255"/>
      <c r="H35" s="255"/>
      <c r="I35" s="255">
        <v>-3186388</v>
      </c>
      <c r="J35" s="255"/>
      <c r="K35" s="255"/>
      <c r="L35" s="254"/>
      <c r="M35" s="256"/>
      <c r="N35" s="269">
        <f t="shared" si="21"/>
        <v>12967978</v>
      </c>
      <c r="P35" s="141">
        <v>3309426</v>
      </c>
      <c r="Q35" s="138">
        <v>2960838</v>
      </c>
      <c r="R35" s="138">
        <v>3057965</v>
      </c>
      <c r="S35" s="142">
        <v>3223896</v>
      </c>
      <c r="T35" s="141"/>
      <c r="U35" s="137">
        <f t="shared" si="22"/>
        <v>12552125</v>
      </c>
      <c r="V35" s="140">
        <f t="shared" si="23"/>
        <v>415853</v>
      </c>
      <c r="X35" s="130"/>
      <c r="Y35" s="130"/>
      <c r="AB35" s="131"/>
      <c r="AC35" s="130"/>
    </row>
    <row r="36" spans="2:29" x14ac:dyDescent="0.25">
      <c r="B36" s="7" t="s">
        <v>32</v>
      </c>
      <c r="C36" s="252">
        <v>5837400</v>
      </c>
      <c r="D36" s="253"/>
      <c r="E36" s="254">
        <v>16920</v>
      </c>
      <c r="F36" s="255"/>
      <c r="G36" s="255"/>
      <c r="H36" s="255"/>
      <c r="I36" s="255">
        <v>0</v>
      </c>
      <c r="J36" s="255"/>
      <c r="K36" s="255"/>
      <c r="L36" s="254"/>
      <c r="M36" s="256"/>
      <c r="N36" s="269">
        <f t="shared" si="21"/>
        <v>5854320</v>
      </c>
      <c r="P36" s="141">
        <v>1361498</v>
      </c>
      <c r="Q36" s="138">
        <v>1463580</v>
      </c>
      <c r="R36" s="138">
        <v>1463580</v>
      </c>
      <c r="S36" s="142">
        <v>1565662</v>
      </c>
      <c r="T36" s="141"/>
      <c r="U36" s="137">
        <f t="shared" si="22"/>
        <v>5854320</v>
      </c>
      <c r="V36" s="140">
        <f t="shared" si="23"/>
        <v>0</v>
      </c>
      <c r="X36" s="130"/>
      <c r="Y36" s="130"/>
      <c r="AB36" s="131"/>
      <c r="AC36" s="130"/>
    </row>
    <row r="37" spans="2:29" x14ac:dyDescent="0.25">
      <c r="B37" s="7" t="s">
        <v>33</v>
      </c>
      <c r="C37" s="252">
        <v>145399304</v>
      </c>
      <c r="D37" s="253"/>
      <c r="E37" s="254">
        <v>334998</v>
      </c>
      <c r="F37" s="255"/>
      <c r="G37" s="255"/>
      <c r="H37" s="255"/>
      <c r="I37" s="255">
        <v>-68419708</v>
      </c>
      <c r="J37" s="255"/>
      <c r="K37" s="255"/>
      <c r="L37" s="254"/>
      <c r="M37" s="256"/>
      <c r="N37" s="269">
        <f t="shared" si="21"/>
        <v>77314594</v>
      </c>
      <c r="P37" s="141">
        <v>19128310</v>
      </c>
      <c r="Q37" s="138">
        <v>0</v>
      </c>
      <c r="R37" s="138">
        <v>1481300</v>
      </c>
      <c r="S37" s="142">
        <v>11653162</v>
      </c>
      <c r="T37" s="141"/>
      <c r="U37" s="137">
        <f t="shared" si="22"/>
        <v>32262772</v>
      </c>
      <c r="V37" s="140">
        <f t="shared" si="23"/>
        <v>45051822</v>
      </c>
      <c r="X37" s="130"/>
      <c r="Y37" s="130"/>
      <c r="AB37" s="131"/>
      <c r="AC37" s="130"/>
    </row>
    <row r="38" spans="2:29" x14ac:dyDescent="0.25">
      <c r="B38" s="7" t="s">
        <v>34</v>
      </c>
      <c r="C38" s="252">
        <v>31726517</v>
      </c>
      <c r="D38" s="253"/>
      <c r="E38" s="254">
        <v>50970</v>
      </c>
      <c r="F38" s="255"/>
      <c r="G38" s="255"/>
      <c r="H38" s="255"/>
      <c r="I38" s="255">
        <v>-3846781</v>
      </c>
      <c r="J38" s="255"/>
      <c r="K38" s="255"/>
      <c r="L38" s="254"/>
      <c r="M38" s="256"/>
      <c r="N38" s="269">
        <f t="shared" si="21"/>
        <v>27930706</v>
      </c>
      <c r="P38" s="141">
        <v>14714479</v>
      </c>
      <c r="Q38" s="138">
        <v>0</v>
      </c>
      <c r="R38" s="138">
        <v>11778000</v>
      </c>
      <c r="S38" s="142">
        <v>491550</v>
      </c>
      <c r="T38" s="141"/>
      <c r="U38" s="137">
        <f t="shared" si="22"/>
        <v>26984029</v>
      </c>
      <c r="V38" s="140">
        <f t="shared" si="23"/>
        <v>946677</v>
      </c>
      <c r="X38" s="130"/>
      <c r="Y38" s="130"/>
      <c r="AB38" s="131"/>
      <c r="AC38" s="130"/>
    </row>
    <row r="39" spans="2:29" x14ac:dyDescent="0.25">
      <c r="B39" s="7" t="s">
        <v>35</v>
      </c>
      <c r="C39" s="252">
        <v>0</v>
      </c>
      <c r="D39" s="253"/>
      <c r="E39" s="254">
        <v>0</v>
      </c>
      <c r="F39" s="255"/>
      <c r="G39" s="255"/>
      <c r="H39" s="255"/>
      <c r="I39" s="255">
        <v>0</v>
      </c>
      <c r="J39" s="255"/>
      <c r="K39" s="255"/>
      <c r="L39" s="254"/>
      <c r="M39" s="256"/>
      <c r="N39" s="269">
        <f t="shared" si="21"/>
        <v>0</v>
      </c>
      <c r="P39" s="141">
        <v>0</v>
      </c>
      <c r="Q39" s="138"/>
      <c r="R39" s="138"/>
      <c r="S39" s="173">
        <v>0</v>
      </c>
      <c r="T39" s="141"/>
      <c r="U39" s="137">
        <f t="shared" si="22"/>
        <v>0</v>
      </c>
      <c r="V39" s="140">
        <f t="shared" si="23"/>
        <v>0</v>
      </c>
      <c r="X39" s="130"/>
      <c r="Y39" s="130"/>
      <c r="AB39" s="131"/>
      <c r="AC39" s="130"/>
    </row>
    <row r="40" spans="2:29" x14ac:dyDescent="0.25">
      <c r="B40" s="7" t="s">
        <v>36</v>
      </c>
      <c r="C40" s="252">
        <v>32750940</v>
      </c>
      <c r="D40" s="253"/>
      <c r="E40" s="254">
        <v>91452</v>
      </c>
      <c r="F40" s="255">
        <v>9702500</v>
      </c>
      <c r="G40" s="255"/>
      <c r="H40" s="255"/>
      <c r="I40" s="255">
        <v>-2806553</v>
      </c>
      <c r="J40" s="255"/>
      <c r="K40" s="255"/>
      <c r="L40" s="254"/>
      <c r="M40" s="256"/>
      <c r="N40" s="269">
        <f t="shared" si="21"/>
        <v>39738339</v>
      </c>
      <c r="P40" s="141">
        <v>3328125</v>
      </c>
      <c r="Q40" s="138">
        <v>3973756</v>
      </c>
      <c r="R40" s="138">
        <v>5310498</v>
      </c>
      <c r="S40" s="173">
        <v>26805204</v>
      </c>
      <c r="T40" s="141"/>
      <c r="U40" s="137">
        <f t="shared" si="22"/>
        <v>39417583</v>
      </c>
      <c r="V40" s="140">
        <f t="shared" si="23"/>
        <v>320756</v>
      </c>
      <c r="X40" s="130"/>
      <c r="Y40" s="130"/>
      <c r="AB40" s="131"/>
      <c r="AC40" s="130"/>
    </row>
    <row r="41" spans="2:29" x14ac:dyDescent="0.25">
      <c r="B41" s="7" t="s">
        <v>65</v>
      </c>
      <c r="C41" s="252">
        <v>4692850</v>
      </c>
      <c r="D41" s="253"/>
      <c r="E41" s="254">
        <v>0</v>
      </c>
      <c r="F41" s="255"/>
      <c r="G41" s="255"/>
      <c r="H41" s="255"/>
      <c r="I41" s="255">
        <v>-4999</v>
      </c>
      <c r="J41" s="255"/>
      <c r="K41" s="255"/>
      <c r="L41" s="254"/>
      <c r="M41" s="256"/>
      <c r="N41" s="269">
        <f t="shared" si="21"/>
        <v>4687851</v>
      </c>
      <c r="P41" s="141">
        <v>1201214</v>
      </c>
      <c r="Q41" s="138">
        <v>440000</v>
      </c>
      <c r="R41" s="138">
        <v>1145332</v>
      </c>
      <c r="S41" s="173">
        <v>1065000</v>
      </c>
      <c r="T41" s="141"/>
      <c r="U41" s="137">
        <f t="shared" si="22"/>
        <v>3851546</v>
      </c>
      <c r="V41" s="140">
        <f t="shared" si="23"/>
        <v>836305</v>
      </c>
      <c r="X41" s="130"/>
      <c r="Y41" s="130"/>
      <c r="AB41" s="131"/>
      <c r="AC41" s="130"/>
    </row>
    <row r="42" spans="2:29" x14ac:dyDescent="0.25">
      <c r="B42" s="7" t="s">
        <v>37</v>
      </c>
      <c r="C42" s="252">
        <v>2769207</v>
      </c>
      <c r="D42" s="253"/>
      <c r="E42" s="254">
        <v>4548</v>
      </c>
      <c r="F42" s="255"/>
      <c r="G42" s="255"/>
      <c r="H42" s="255"/>
      <c r="I42" s="255">
        <v>-617000</v>
      </c>
      <c r="J42" s="255"/>
      <c r="K42" s="255"/>
      <c r="L42" s="254"/>
      <c r="M42" s="256"/>
      <c r="N42" s="269">
        <f t="shared" si="21"/>
        <v>2156755</v>
      </c>
      <c r="P42" s="141">
        <v>235000</v>
      </c>
      <c r="Q42" s="138">
        <v>320300</v>
      </c>
      <c r="R42" s="138">
        <v>130950</v>
      </c>
      <c r="S42" s="142">
        <v>602818</v>
      </c>
      <c r="T42" s="141"/>
      <c r="U42" s="137">
        <f t="shared" si="22"/>
        <v>1289068</v>
      </c>
      <c r="V42" s="140">
        <f t="shared" si="23"/>
        <v>867687</v>
      </c>
      <c r="X42" s="130"/>
      <c r="Y42" s="130"/>
      <c r="AB42" s="131"/>
      <c r="AC42" s="130"/>
    </row>
    <row r="43" spans="2:29" x14ac:dyDescent="0.25">
      <c r="B43" s="7" t="s">
        <v>38</v>
      </c>
      <c r="C43" s="252">
        <v>45050000</v>
      </c>
      <c r="D43" s="253"/>
      <c r="E43" s="254">
        <v>90000</v>
      </c>
      <c r="F43" s="255"/>
      <c r="G43" s="255"/>
      <c r="H43" s="255"/>
      <c r="I43" s="255">
        <v>-25000000</v>
      </c>
      <c r="J43" s="255"/>
      <c r="K43" s="255"/>
      <c r="L43" s="254"/>
      <c r="M43" s="256"/>
      <c r="N43" s="269">
        <f t="shared" si="21"/>
        <v>20140000</v>
      </c>
      <c r="P43" s="141">
        <v>3389291</v>
      </c>
      <c r="Q43" s="138">
        <v>3904567</v>
      </c>
      <c r="R43" s="138">
        <v>4145104</v>
      </c>
      <c r="S43" s="142">
        <v>7683925</v>
      </c>
      <c r="T43" s="141"/>
      <c r="U43" s="137">
        <f t="shared" si="22"/>
        <v>19122887</v>
      </c>
      <c r="V43" s="140">
        <f t="shared" si="23"/>
        <v>1017113</v>
      </c>
      <c r="X43" s="130"/>
      <c r="Y43" s="130"/>
      <c r="AB43" s="131"/>
      <c r="AC43" s="130"/>
    </row>
    <row r="44" spans="2:29" x14ac:dyDescent="0.25">
      <c r="B44" s="7" t="s">
        <v>39</v>
      </c>
      <c r="C44" s="252">
        <v>18338136</v>
      </c>
      <c r="D44" s="253"/>
      <c r="E44" s="254">
        <v>53153</v>
      </c>
      <c r="F44" s="255"/>
      <c r="G44" s="255"/>
      <c r="H44" s="255"/>
      <c r="I44" s="255">
        <v>0</v>
      </c>
      <c r="J44" s="255"/>
      <c r="K44" s="255"/>
      <c r="L44" s="254"/>
      <c r="M44" s="256"/>
      <c r="N44" s="269">
        <f t="shared" si="21"/>
        <v>18391289</v>
      </c>
      <c r="P44" s="141">
        <v>4597821</v>
      </c>
      <c r="Q44" s="138">
        <v>4597821</v>
      </c>
      <c r="R44" s="138">
        <v>4597821</v>
      </c>
      <c r="S44" s="142">
        <v>4597821</v>
      </c>
      <c r="T44" s="141"/>
      <c r="U44" s="137">
        <f t="shared" si="22"/>
        <v>18391284</v>
      </c>
      <c r="V44" s="140">
        <f t="shared" si="23"/>
        <v>5</v>
      </c>
      <c r="X44" s="130"/>
      <c r="Y44" s="130"/>
      <c r="AB44" s="131"/>
      <c r="AC44" s="130"/>
    </row>
    <row r="45" spans="2:29" x14ac:dyDescent="0.25">
      <c r="B45" s="7" t="s">
        <v>66</v>
      </c>
      <c r="C45" s="252">
        <v>1200000</v>
      </c>
      <c r="D45" s="253"/>
      <c r="E45" s="254">
        <v>0</v>
      </c>
      <c r="F45" s="255"/>
      <c r="G45" s="255"/>
      <c r="H45" s="255"/>
      <c r="I45" s="255">
        <v>0</v>
      </c>
      <c r="J45" s="255"/>
      <c r="K45" s="255"/>
      <c r="L45" s="254"/>
      <c r="M45" s="256"/>
      <c r="N45" s="269">
        <f t="shared" si="21"/>
        <v>1200000</v>
      </c>
      <c r="P45" s="141">
        <v>279300</v>
      </c>
      <c r="Q45" s="138">
        <v>296900</v>
      </c>
      <c r="R45" s="138">
        <v>299800</v>
      </c>
      <c r="S45" s="142">
        <v>321200</v>
      </c>
      <c r="T45" s="141"/>
      <c r="U45" s="137">
        <f t="shared" si="22"/>
        <v>1197200</v>
      </c>
      <c r="V45" s="140">
        <f t="shared" si="23"/>
        <v>2800</v>
      </c>
      <c r="X45" s="130"/>
      <c r="Y45" s="130"/>
      <c r="AB45" s="131"/>
      <c r="AC45" s="130"/>
    </row>
    <row r="46" spans="2:29" x14ac:dyDescent="0.25">
      <c r="B46" s="7" t="s">
        <v>40</v>
      </c>
      <c r="C46" s="252">
        <v>15000000</v>
      </c>
      <c r="D46" s="253"/>
      <c r="E46" s="254">
        <v>0</v>
      </c>
      <c r="F46" s="255"/>
      <c r="G46" s="255"/>
      <c r="H46" s="255"/>
      <c r="I46" s="255">
        <v>0</v>
      </c>
      <c r="J46" s="255"/>
      <c r="K46" s="255"/>
      <c r="L46" s="254"/>
      <c r="M46" s="256"/>
      <c r="N46" s="269">
        <f t="shared" si="21"/>
        <v>15000000</v>
      </c>
      <c r="P46" s="141">
        <v>0</v>
      </c>
      <c r="Q46" s="138"/>
      <c r="R46" s="138"/>
      <c r="S46" s="142">
        <v>9042651</v>
      </c>
      <c r="T46" s="141"/>
      <c r="U46" s="137">
        <f t="shared" si="22"/>
        <v>9042651</v>
      </c>
      <c r="V46" s="140">
        <f t="shared" si="23"/>
        <v>5957349</v>
      </c>
      <c r="X46" s="130"/>
      <c r="Y46" s="130"/>
      <c r="AB46" s="131"/>
      <c r="AC46" s="130"/>
    </row>
    <row r="47" spans="2:29" ht="16.5" thickBot="1" x14ac:dyDescent="0.3">
      <c r="B47" s="9" t="s">
        <v>41</v>
      </c>
      <c r="C47" s="252">
        <v>38654902</v>
      </c>
      <c r="D47" s="275"/>
      <c r="E47" s="276">
        <v>75602</v>
      </c>
      <c r="F47" s="277"/>
      <c r="G47" s="277"/>
      <c r="H47" s="277"/>
      <c r="I47" s="277">
        <v>-33627204</v>
      </c>
      <c r="J47" s="277"/>
      <c r="K47" s="277"/>
      <c r="L47" s="276"/>
      <c r="M47" s="278"/>
      <c r="N47" s="282">
        <f t="shared" si="21"/>
        <v>5103300</v>
      </c>
      <c r="P47" s="168">
        <v>103300</v>
      </c>
      <c r="Q47" s="169">
        <v>0</v>
      </c>
      <c r="R47" s="169">
        <v>0</v>
      </c>
      <c r="S47" s="142">
        <v>0</v>
      </c>
      <c r="T47" s="141"/>
      <c r="U47" s="137">
        <f t="shared" si="22"/>
        <v>103300</v>
      </c>
      <c r="V47" s="140">
        <f t="shared" si="23"/>
        <v>5000000</v>
      </c>
      <c r="X47" s="130"/>
      <c r="Y47" s="130"/>
      <c r="AB47" s="131"/>
      <c r="AC47" s="130"/>
    </row>
    <row r="48" spans="2:29" ht="16.5" thickBot="1" x14ac:dyDescent="0.3">
      <c r="B48" s="64" t="s">
        <v>67</v>
      </c>
      <c r="C48" s="283">
        <f>+C49</f>
        <v>564719999.89999998</v>
      </c>
      <c r="D48" s="284">
        <f t="shared" ref="D48:K48" si="24">+D49</f>
        <v>0</v>
      </c>
      <c r="E48" s="285">
        <f t="shared" si="24"/>
        <v>0</v>
      </c>
      <c r="F48" s="286">
        <f t="shared" si="24"/>
        <v>0</v>
      </c>
      <c r="G48" s="286">
        <f t="shared" si="24"/>
        <v>0</v>
      </c>
      <c r="H48" s="286">
        <f t="shared" si="24"/>
        <v>0</v>
      </c>
      <c r="I48" s="286">
        <f t="shared" si="24"/>
        <v>0</v>
      </c>
      <c r="J48" s="286">
        <f t="shared" si="24"/>
        <v>8925957.9000000004</v>
      </c>
      <c r="K48" s="286">
        <f t="shared" si="24"/>
        <v>2451000</v>
      </c>
      <c r="L48" s="285"/>
      <c r="M48" s="287"/>
      <c r="N48" s="288">
        <f>+N49</f>
        <v>576096957.80000007</v>
      </c>
      <c r="P48" s="180">
        <f t="shared" ref="P48:T48" si="25">+P49</f>
        <v>143525585</v>
      </c>
      <c r="Q48" s="181">
        <f t="shared" si="25"/>
        <v>120239573.7</v>
      </c>
      <c r="R48" s="181">
        <f t="shared" si="25"/>
        <v>124872019.5</v>
      </c>
      <c r="S48" s="182">
        <f t="shared" si="25"/>
        <v>126723337.5</v>
      </c>
      <c r="T48" s="180">
        <f t="shared" si="25"/>
        <v>1.1000000000000001</v>
      </c>
      <c r="U48" s="180">
        <f>+U49</f>
        <v>515360516.80000001</v>
      </c>
      <c r="V48" s="183">
        <f>+V49</f>
        <v>60736441.00000006</v>
      </c>
      <c r="X48" s="130"/>
      <c r="Y48" s="130"/>
      <c r="AB48" s="131"/>
      <c r="AC48" s="130"/>
    </row>
    <row r="49" spans="2:29" x14ac:dyDescent="0.25">
      <c r="B49" s="10" t="s">
        <v>42</v>
      </c>
      <c r="C49" s="289">
        <f t="shared" ref="C49:K49" si="26">(C10+C11)*10%</f>
        <v>564719999.89999998</v>
      </c>
      <c r="D49" s="270">
        <f t="shared" si="26"/>
        <v>0</v>
      </c>
      <c r="E49" s="271">
        <f t="shared" si="26"/>
        <v>0</v>
      </c>
      <c r="F49" s="272">
        <f t="shared" si="26"/>
        <v>0</v>
      </c>
      <c r="G49" s="272">
        <f t="shared" si="26"/>
        <v>0</v>
      </c>
      <c r="H49" s="272">
        <f t="shared" si="26"/>
        <v>0</v>
      </c>
      <c r="I49" s="272">
        <f t="shared" si="26"/>
        <v>0</v>
      </c>
      <c r="J49" s="272">
        <f t="shared" si="26"/>
        <v>8925957.9000000004</v>
      </c>
      <c r="K49" s="272">
        <f t="shared" si="26"/>
        <v>2451000</v>
      </c>
      <c r="L49" s="271"/>
      <c r="M49" s="281"/>
      <c r="N49" s="290">
        <f>(N10+N11)*10%</f>
        <v>576096957.80000007</v>
      </c>
      <c r="P49" s="161">
        <f>(P10+P11)*10%</f>
        <v>143525585</v>
      </c>
      <c r="Q49" s="162">
        <f>(Q10+Q11)*10%</f>
        <v>120239573.7</v>
      </c>
      <c r="R49" s="162">
        <f>(R10+R11)*10%</f>
        <v>124872019.5</v>
      </c>
      <c r="S49" s="186">
        <f>(S10+S11)*10%</f>
        <v>126723337.5</v>
      </c>
      <c r="T49" s="161">
        <f t="shared" ref="T49" si="27">(T10+T11)*10%</f>
        <v>1.1000000000000001</v>
      </c>
      <c r="U49" s="137">
        <f>(U10+U11)*10%</f>
        <v>515360516.80000001</v>
      </c>
      <c r="V49" s="140">
        <f>+N49-U49</f>
        <v>60736441.00000006</v>
      </c>
      <c r="X49" s="130"/>
      <c r="Y49" s="130"/>
      <c r="AB49" s="131"/>
      <c r="AC49" s="130"/>
    </row>
    <row r="50" spans="2:29" x14ac:dyDescent="0.25">
      <c r="B50" s="5" t="s">
        <v>68</v>
      </c>
      <c r="C50" s="263">
        <f t="shared" ref="C50:K50" si="28">+C51+C63+C81</f>
        <v>3069835256</v>
      </c>
      <c r="D50" s="264">
        <f t="shared" si="28"/>
        <v>0</v>
      </c>
      <c r="E50" s="265">
        <f t="shared" si="28"/>
        <v>36613615.495999999</v>
      </c>
      <c r="F50" s="266">
        <f t="shared" si="28"/>
        <v>700650000</v>
      </c>
      <c r="G50" s="266">
        <f t="shared" si="28"/>
        <v>-150000000</v>
      </c>
      <c r="H50" s="266">
        <f t="shared" si="28"/>
        <v>46172000</v>
      </c>
      <c r="I50" s="266">
        <f t="shared" si="28"/>
        <v>-630709594</v>
      </c>
      <c r="J50" s="266">
        <f t="shared" si="28"/>
        <v>0</v>
      </c>
      <c r="K50" s="266">
        <f t="shared" si="28"/>
        <v>0</v>
      </c>
      <c r="L50" s="265"/>
      <c r="M50" s="267"/>
      <c r="N50" s="268">
        <f>+N51+N63+N81</f>
        <v>3072561277.4960003</v>
      </c>
      <c r="P50" s="153">
        <f t="shared" ref="P50:T50" si="29">+P51+P63+P81</f>
        <v>479701420</v>
      </c>
      <c r="Q50" s="154">
        <f t="shared" si="29"/>
        <v>587950669</v>
      </c>
      <c r="R50" s="154">
        <f t="shared" si="29"/>
        <v>636567833</v>
      </c>
      <c r="S50" s="155">
        <f t="shared" si="29"/>
        <v>1168394257</v>
      </c>
      <c r="T50" s="153">
        <f t="shared" si="29"/>
        <v>0</v>
      </c>
      <c r="U50" s="153">
        <f>+U51+U63+U81</f>
        <v>2872614179</v>
      </c>
      <c r="V50" s="156">
        <f>+V51+V63+V81</f>
        <v>199947098.49599999</v>
      </c>
      <c r="X50" s="130"/>
      <c r="Y50" s="130"/>
      <c r="AB50" s="131"/>
      <c r="AC50" s="130"/>
    </row>
    <row r="51" spans="2:29" x14ac:dyDescent="0.25">
      <c r="B51" s="6" t="s">
        <v>17</v>
      </c>
      <c r="C51" s="291">
        <f>SUM(C52:C62)</f>
        <v>1191732668</v>
      </c>
      <c r="D51" s="292">
        <f t="shared" ref="D51:K51" si="30">SUM(D52:D62)</f>
        <v>0</v>
      </c>
      <c r="E51" s="293">
        <f t="shared" si="30"/>
        <v>3505304.4959999998</v>
      </c>
      <c r="F51" s="294">
        <f t="shared" si="30"/>
        <v>0</v>
      </c>
      <c r="G51" s="294">
        <f t="shared" si="30"/>
        <v>0</v>
      </c>
      <c r="H51" s="294">
        <f t="shared" si="30"/>
        <v>46172000</v>
      </c>
      <c r="I51" s="294">
        <f t="shared" si="30"/>
        <v>-204009183</v>
      </c>
      <c r="J51" s="294">
        <f t="shared" si="30"/>
        <v>0</v>
      </c>
      <c r="K51" s="294">
        <f t="shared" si="30"/>
        <v>0</v>
      </c>
      <c r="L51" s="293"/>
      <c r="M51" s="295"/>
      <c r="N51" s="280">
        <f>SUM(N52:N62)</f>
        <v>1037400789.4960001</v>
      </c>
      <c r="P51" s="170">
        <f t="shared" ref="P51:T51" si="31">SUM(P52:P62)</f>
        <v>210241112</v>
      </c>
      <c r="Q51" s="192">
        <f t="shared" si="31"/>
        <v>253299814</v>
      </c>
      <c r="R51" s="192">
        <f t="shared" si="31"/>
        <v>259759069</v>
      </c>
      <c r="S51" s="193">
        <f t="shared" si="31"/>
        <v>252859385</v>
      </c>
      <c r="T51" s="170">
        <f t="shared" si="31"/>
        <v>0</v>
      </c>
      <c r="U51" s="170">
        <f>SUM(U52:U62)</f>
        <v>976159380</v>
      </c>
      <c r="V51" s="171">
        <f>SUM(V52:V62)</f>
        <v>61241409.495999999</v>
      </c>
      <c r="X51" s="130"/>
      <c r="Y51" s="130"/>
      <c r="AB51" s="131"/>
      <c r="AC51" s="130"/>
    </row>
    <row r="52" spans="2:29" x14ac:dyDescent="0.25">
      <c r="B52" s="8" t="s">
        <v>18</v>
      </c>
      <c r="C52" s="296">
        <v>710682861</v>
      </c>
      <c r="D52" s="297"/>
      <c r="E52" s="298">
        <v>2128889</v>
      </c>
      <c r="F52" s="299"/>
      <c r="G52" s="299"/>
      <c r="H52" s="299"/>
      <c r="I52" s="299">
        <v>-105590655</v>
      </c>
      <c r="J52" s="299"/>
      <c r="K52" s="299"/>
      <c r="L52" s="298"/>
      <c r="M52" s="300"/>
      <c r="N52" s="290">
        <f t="shared" ref="N52:N62" si="32">SUM(C52:M52)</f>
        <v>607221095</v>
      </c>
      <c r="P52" s="185">
        <v>138453287</v>
      </c>
      <c r="Q52" s="199">
        <v>161972388</v>
      </c>
      <c r="R52" s="199">
        <v>145015969</v>
      </c>
      <c r="S52" s="142">
        <v>124303126</v>
      </c>
      <c r="T52" s="141"/>
      <c r="U52" s="137">
        <f>SUM(P52:T52)</f>
        <v>569744770</v>
      </c>
      <c r="V52" s="140">
        <f>+N52-U52</f>
        <v>37476325</v>
      </c>
      <c r="X52" s="130"/>
      <c r="Y52" s="130"/>
      <c r="AB52" s="131"/>
      <c r="AC52" s="130"/>
    </row>
    <row r="53" spans="2:29" x14ac:dyDescent="0.25">
      <c r="B53" s="8" t="s">
        <v>19</v>
      </c>
      <c r="C53" s="296">
        <v>29178232</v>
      </c>
      <c r="D53" s="301"/>
      <c r="E53" s="302">
        <v>84569</v>
      </c>
      <c r="F53" s="303"/>
      <c r="G53" s="303"/>
      <c r="H53" s="303"/>
      <c r="I53" s="303">
        <v>-4405803</v>
      </c>
      <c r="J53" s="303"/>
      <c r="K53" s="303"/>
      <c r="L53" s="302"/>
      <c r="M53" s="304"/>
      <c r="N53" s="305">
        <f t="shared" si="32"/>
        <v>24856998</v>
      </c>
      <c r="P53" s="204">
        <v>5675108</v>
      </c>
      <c r="Q53" s="205">
        <v>6639122</v>
      </c>
      <c r="R53" s="205">
        <v>5942928</v>
      </c>
      <c r="S53" s="142">
        <v>5069566</v>
      </c>
      <c r="T53" s="141"/>
      <c r="U53" s="137">
        <f t="shared" ref="U53:U62" si="33">SUM(P53:T53)</f>
        <v>23326724</v>
      </c>
      <c r="V53" s="140">
        <f t="shared" ref="V53:V62" si="34">+N53-U53</f>
        <v>1530274</v>
      </c>
      <c r="X53" s="130"/>
      <c r="Y53" s="130"/>
      <c r="AB53" s="131"/>
      <c r="AC53" s="130"/>
    </row>
    <row r="54" spans="2:29" x14ac:dyDescent="0.25">
      <c r="B54" s="8" t="s">
        <v>20</v>
      </c>
      <c r="C54" s="296">
        <v>1219207</v>
      </c>
      <c r="D54" s="301"/>
      <c r="E54" s="302">
        <v>11612.495999999799</v>
      </c>
      <c r="F54" s="303"/>
      <c r="G54" s="303"/>
      <c r="H54" s="303"/>
      <c r="I54" s="303">
        <v>0</v>
      </c>
      <c r="J54" s="303"/>
      <c r="K54" s="303"/>
      <c r="L54" s="302"/>
      <c r="M54" s="304"/>
      <c r="N54" s="305">
        <f t="shared" si="32"/>
        <v>1230819.4959999998</v>
      </c>
      <c r="P54" s="206">
        <v>294848</v>
      </c>
      <c r="Q54" s="207">
        <v>308562</v>
      </c>
      <c r="R54" s="207">
        <v>308562</v>
      </c>
      <c r="S54" s="173">
        <v>308562</v>
      </c>
      <c r="T54" s="137"/>
      <c r="U54" s="137">
        <f t="shared" si="33"/>
        <v>1220534</v>
      </c>
      <c r="V54" s="140">
        <f t="shared" si="34"/>
        <v>10285.49599999981</v>
      </c>
      <c r="X54" s="130"/>
      <c r="Y54" s="130"/>
      <c r="AB54" s="131"/>
      <c r="AC54" s="130"/>
    </row>
    <row r="55" spans="2:29" x14ac:dyDescent="0.25">
      <c r="B55" s="8" t="s">
        <v>21</v>
      </c>
      <c r="C55" s="296">
        <v>58458068</v>
      </c>
      <c r="D55" s="301"/>
      <c r="E55" s="302">
        <v>170117</v>
      </c>
      <c r="F55" s="303"/>
      <c r="G55" s="303"/>
      <c r="H55" s="303"/>
      <c r="I55" s="303">
        <v>-8811608</v>
      </c>
      <c r="J55" s="303"/>
      <c r="K55" s="303"/>
      <c r="L55" s="302"/>
      <c r="M55" s="304"/>
      <c r="N55" s="305">
        <f t="shared" si="32"/>
        <v>49816577</v>
      </c>
      <c r="P55" s="204">
        <v>11330506</v>
      </c>
      <c r="Q55" s="205">
        <v>13303960</v>
      </c>
      <c r="R55" s="205">
        <v>11911568</v>
      </c>
      <c r="S55" s="142">
        <v>10164859</v>
      </c>
      <c r="T55" s="141"/>
      <c r="U55" s="137">
        <f t="shared" si="33"/>
        <v>46710893</v>
      </c>
      <c r="V55" s="140">
        <f t="shared" si="34"/>
        <v>3105684</v>
      </c>
      <c r="X55" s="130"/>
      <c r="Y55" s="130"/>
      <c r="AB55" s="131"/>
      <c r="AC55" s="130"/>
    </row>
    <row r="56" spans="2:29" x14ac:dyDescent="0.25">
      <c r="B56" s="8" t="s">
        <v>22</v>
      </c>
      <c r="C56" s="296">
        <v>103667932</v>
      </c>
      <c r="D56" s="301"/>
      <c r="E56" s="302">
        <v>0</v>
      </c>
      <c r="F56" s="303"/>
      <c r="G56" s="303"/>
      <c r="H56" s="303">
        <v>46172000</v>
      </c>
      <c r="I56" s="303">
        <v>-42397533</v>
      </c>
      <c r="J56" s="303"/>
      <c r="K56" s="303"/>
      <c r="L56" s="302"/>
      <c r="M56" s="304"/>
      <c r="N56" s="305">
        <f t="shared" si="32"/>
        <v>107442399</v>
      </c>
      <c r="P56" s="204">
        <v>0</v>
      </c>
      <c r="Q56" s="205">
        <v>5900000</v>
      </c>
      <c r="R56" s="205">
        <v>38057394</v>
      </c>
      <c r="S56" s="142">
        <v>60762817</v>
      </c>
      <c r="T56" s="141"/>
      <c r="U56" s="137">
        <f t="shared" si="33"/>
        <v>104720211</v>
      </c>
      <c r="V56" s="140">
        <f t="shared" si="34"/>
        <v>2722188</v>
      </c>
      <c r="X56" s="130"/>
      <c r="Y56" s="130"/>
      <c r="AB56" s="131"/>
      <c r="AC56" s="130"/>
    </row>
    <row r="57" spans="2:29" x14ac:dyDescent="0.25">
      <c r="B57" s="8" t="s">
        <v>23</v>
      </c>
      <c r="C57" s="296">
        <v>705300</v>
      </c>
      <c r="D57" s="301"/>
      <c r="E57" s="302">
        <v>262000</v>
      </c>
      <c r="F57" s="303"/>
      <c r="G57" s="303"/>
      <c r="H57" s="303"/>
      <c r="I57" s="303">
        <v>-132301</v>
      </c>
      <c r="J57" s="303"/>
      <c r="K57" s="303"/>
      <c r="L57" s="302"/>
      <c r="M57" s="304"/>
      <c r="N57" s="305">
        <f t="shared" si="32"/>
        <v>834999</v>
      </c>
      <c r="P57" s="204">
        <v>0</v>
      </c>
      <c r="Q57" s="205">
        <v>834999</v>
      </c>
      <c r="R57" s="205"/>
      <c r="S57" s="142">
        <v>0</v>
      </c>
      <c r="T57" s="141"/>
      <c r="U57" s="137">
        <f t="shared" si="33"/>
        <v>834999</v>
      </c>
      <c r="V57" s="140">
        <f t="shared" si="34"/>
        <v>0</v>
      </c>
      <c r="X57" s="130"/>
      <c r="Y57" s="130"/>
      <c r="AB57" s="131"/>
      <c r="AC57" s="130"/>
    </row>
    <row r="58" spans="2:29" x14ac:dyDescent="0.25">
      <c r="B58" s="8" t="s">
        <v>24</v>
      </c>
      <c r="C58" s="296">
        <v>58458068</v>
      </c>
      <c r="D58" s="301"/>
      <c r="E58" s="302">
        <v>170117</v>
      </c>
      <c r="F58" s="303"/>
      <c r="G58" s="303"/>
      <c r="H58" s="303"/>
      <c r="I58" s="303">
        <v>-8811608</v>
      </c>
      <c r="J58" s="303"/>
      <c r="K58" s="303"/>
      <c r="L58" s="302"/>
      <c r="M58" s="304"/>
      <c r="N58" s="305">
        <f t="shared" si="32"/>
        <v>49816577</v>
      </c>
      <c r="P58" s="204">
        <v>11374548</v>
      </c>
      <c r="Q58" s="205">
        <v>13303960</v>
      </c>
      <c r="R58" s="205">
        <v>11911576</v>
      </c>
      <c r="S58" s="142">
        <v>10164855</v>
      </c>
      <c r="T58" s="141"/>
      <c r="U58" s="137">
        <f t="shared" si="33"/>
        <v>46754939</v>
      </c>
      <c r="V58" s="140">
        <f t="shared" si="34"/>
        <v>3061638</v>
      </c>
      <c r="X58" s="130"/>
      <c r="Y58" s="130"/>
      <c r="Z58" s="130"/>
      <c r="AB58" s="131"/>
      <c r="AC58" s="130"/>
    </row>
    <row r="59" spans="2:29" x14ac:dyDescent="0.25">
      <c r="B59" s="8" t="s">
        <v>25</v>
      </c>
      <c r="C59" s="296">
        <v>7023000</v>
      </c>
      <c r="D59" s="301"/>
      <c r="E59" s="302">
        <v>9000</v>
      </c>
      <c r="F59" s="303"/>
      <c r="G59" s="303"/>
      <c r="H59" s="303"/>
      <c r="I59" s="303">
        <v>-1434997</v>
      </c>
      <c r="J59" s="303"/>
      <c r="K59" s="303"/>
      <c r="L59" s="302"/>
      <c r="M59" s="304"/>
      <c r="N59" s="305">
        <f t="shared" si="32"/>
        <v>5597003</v>
      </c>
      <c r="P59" s="204">
        <v>263252</v>
      </c>
      <c r="Q59" s="205">
        <v>986692</v>
      </c>
      <c r="R59" s="205">
        <v>1494402</v>
      </c>
      <c r="S59" s="142">
        <v>1845696</v>
      </c>
      <c r="T59" s="141"/>
      <c r="U59" s="137">
        <f t="shared" si="33"/>
        <v>4590042</v>
      </c>
      <c r="V59" s="140">
        <f t="shared" si="34"/>
        <v>1006961</v>
      </c>
      <c r="X59" s="130"/>
      <c r="Y59" s="130"/>
      <c r="Z59" s="130"/>
      <c r="AB59" s="131"/>
      <c r="AC59" s="130"/>
    </row>
    <row r="60" spans="2:29" x14ac:dyDescent="0.25">
      <c r="B60" s="8" t="s">
        <v>26</v>
      </c>
      <c r="C60" s="296">
        <v>156696000</v>
      </c>
      <c r="D60" s="301"/>
      <c r="E60" s="302">
        <v>474000</v>
      </c>
      <c r="F60" s="303"/>
      <c r="G60" s="303"/>
      <c r="H60" s="303"/>
      <c r="I60" s="303">
        <v>-22515478</v>
      </c>
      <c r="J60" s="303"/>
      <c r="K60" s="303"/>
      <c r="L60" s="302"/>
      <c r="M60" s="304"/>
      <c r="N60" s="305">
        <f t="shared" si="32"/>
        <v>134654522</v>
      </c>
      <c r="P60" s="204">
        <v>30565663</v>
      </c>
      <c r="Q60" s="205">
        <v>35620031</v>
      </c>
      <c r="R60" s="205">
        <v>32112970</v>
      </c>
      <c r="S60" s="142">
        <v>27520004</v>
      </c>
      <c r="T60" s="141"/>
      <c r="U60" s="137">
        <f t="shared" si="33"/>
        <v>125818668</v>
      </c>
      <c r="V60" s="140">
        <f t="shared" si="34"/>
        <v>8835854</v>
      </c>
      <c r="X60" s="130"/>
      <c r="Y60" s="130"/>
      <c r="AB60" s="131"/>
      <c r="AC60" s="130"/>
    </row>
    <row r="61" spans="2:29" x14ac:dyDescent="0.25">
      <c r="B61" s="8" t="s">
        <v>27</v>
      </c>
      <c r="C61" s="296">
        <v>29182000</v>
      </c>
      <c r="D61" s="301"/>
      <c r="E61" s="302">
        <v>83000</v>
      </c>
      <c r="F61" s="303"/>
      <c r="G61" s="303"/>
      <c r="H61" s="303"/>
      <c r="I61" s="303">
        <v>-4404400</v>
      </c>
      <c r="J61" s="303"/>
      <c r="K61" s="303"/>
      <c r="L61" s="302"/>
      <c r="M61" s="304"/>
      <c r="N61" s="305">
        <f t="shared" si="32"/>
        <v>24860600</v>
      </c>
      <c r="P61" s="204">
        <v>5459000</v>
      </c>
      <c r="Q61" s="205">
        <v>6413200</v>
      </c>
      <c r="R61" s="205">
        <v>5779300</v>
      </c>
      <c r="S61" s="142">
        <v>5652600</v>
      </c>
      <c r="T61" s="141"/>
      <c r="U61" s="137">
        <f t="shared" si="33"/>
        <v>23304100</v>
      </c>
      <c r="V61" s="140">
        <f t="shared" si="34"/>
        <v>1556500</v>
      </c>
      <c r="X61" s="130"/>
      <c r="Y61" s="130"/>
      <c r="AB61" s="131"/>
      <c r="AC61" s="130"/>
    </row>
    <row r="62" spans="2:29" x14ac:dyDescent="0.25">
      <c r="B62" s="8" t="s">
        <v>28</v>
      </c>
      <c r="C62" s="296">
        <v>36462000</v>
      </c>
      <c r="D62" s="306"/>
      <c r="E62" s="307">
        <v>112000</v>
      </c>
      <c r="F62" s="308"/>
      <c r="G62" s="308"/>
      <c r="H62" s="308"/>
      <c r="I62" s="308">
        <v>-5504800</v>
      </c>
      <c r="J62" s="308"/>
      <c r="K62" s="308"/>
      <c r="L62" s="307"/>
      <c r="M62" s="309"/>
      <c r="N62" s="310">
        <f t="shared" si="32"/>
        <v>31069200</v>
      </c>
      <c r="P62" s="212">
        <v>6824900</v>
      </c>
      <c r="Q62" s="213">
        <v>8016900</v>
      </c>
      <c r="R62" s="213">
        <v>7224400</v>
      </c>
      <c r="S62" s="142">
        <v>7067300</v>
      </c>
      <c r="T62" s="141"/>
      <c r="U62" s="137">
        <f t="shared" si="33"/>
        <v>29133500</v>
      </c>
      <c r="V62" s="140">
        <f t="shared" si="34"/>
        <v>1935700</v>
      </c>
      <c r="X62" s="130"/>
      <c r="Y62" s="130"/>
      <c r="AB62" s="131"/>
      <c r="AC62" s="130"/>
    </row>
    <row r="63" spans="2:29" x14ac:dyDescent="0.25">
      <c r="B63" s="6" t="s">
        <v>29</v>
      </c>
      <c r="C63" s="291">
        <f t="shared" ref="C63:K63" si="35">SUM(C64:C79)</f>
        <v>676943740</v>
      </c>
      <c r="D63" s="292">
        <f t="shared" si="35"/>
        <v>0</v>
      </c>
      <c r="E63" s="293">
        <f t="shared" si="35"/>
        <v>9084311</v>
      </c>
      <c r="F63" s="294">
        <f t="shared" si="35"/>
        <v>0</v>
      </c>
      <c r="G63" s="294">
        <f t="shared" si="35"/>
        <v>0</v>
      </c>
      <c r="H63" s="294">
        <f t="shared" si="35"/>
        <v>0</v>
      </c>
      <c r="I63" s="294">
        <f t="shared" si="35"/>
        <v>-325826537</v>
      </c>
      <c r="J63" s="294">
        <f t="shared" si="35"/>
        <v>0</v>
      </c>
      <c r="K63" s="294">
        <f t="shared" si="35"/>
        <v>0</v>
      </c>
      <c r="L63" s="293"/>
      <c r="M63" s="295"/>
      <c r="N63" s="280">
        <f>SUM(N64:N79)</f>
        <v>360201514</v>
      </c>
      <c r="P63" s="170">
        <f t="shared" ref="P63:T63" si="36">SUM(P64:P79)</f>
        <v>154410308</v>
      </c>
      <c r="Q63" s="192">
        <f t="shared" si="36"/>
        <v>50806038</v>
      </c>
      <c r="R63" s="192">
        <f t="shared" si="36"/>
        <v>40203882</v>
      </c>
      <c r="S63" s="193">
        <f t="shared" si="36"/>
        <v>45900451</v>
      </c>
      <c r="T63" s="170">
        <f t="shared" si="36"/>
        <v>0</v>
      </c>
      <c r="U63" s="170">
        <f>SUM(U64:U79)</f>
        <v>291320679</v>
      </c>
      <c r="V63" s="171">
        <f>SUM(V64:V79)</f>
        <v>68880835</v>
      </c>
      <c r="X63" s="130"/>
      <c r="Y63" s="130"/>
      <c r="AB63" s="131"/>
      <c r="AC63" s="130"/>
    </row>
    <row r="64" spans="2:29" x14ac:dyDescent="0.25">
      <c r="B64" s="11" t="s">
        <v>64</v>
      </c>
      <c r="C64" s="252">
        <v>46795725</v>
      </c>
      <c r="D64" s="270"/>
      <c r="E64" s="271">
        <v>6516569</v>
      </c>
      <c r="F64" s="272"/>
      <c r="G64" s="272"/>
      <c r="H64" s="272"/>
      <c r="I64" s="272">
        <v>-16323681</v>
      </c>
      <c r="J64" s="272"/>
      <c r="K64" s="272"/>
      <c r="L64" s="271"/>
      <c r="M64" s="281"/>
      <c r="N64" s="274">
        <f t="shared" ref="N64:N80" si="37">SUM(C64:M64)</f>
        <v>36988613</v>
      </c>
      <c r="P64" s="161">
        <v>25482440</v>
      </c>
      <c r="Q64" s="162">
        <v>10172979</v>
      </c>
      <c r="R64" s="162">
        <v>342833</v>
      </c>
      <c r="S64" s="142">
        <v>230531</v>
      </c>
      <c r="T64" s="141"/>
      <c r="U64" s="137">
        <f>SUM(P64:T64)</f>
        <v>36228783</v>
      </c>
      <c r="V64" s="140">
        <f>+N64-U64</f>
        <v>759830</v>
      </c>
      <c r="X64" s="130"/>
      <c r="Y64" s="130"/>
      <c r="AB64" s="131"/>
      <c r="AC64" s="130"/>
    </row>
    <row r="65" spans="2:29" x14ac:dyDescent="0.25">
      <c r="B65" s="11" t="s">
        <v>69</v>
      </c>
      <c r="C65" s="252">
        <v>60500000</v>
      </c>
      <c r="D65" s="270"/>
      <c r="E65" s="271">
        <v>0</v>
      </c>
      <c r="F65" s="272"/>
      <c r="G65" s="272"/>
      <c r="H65" s="272"/>
      <c r="I65" s="272">
        <v>-1959379</v>
      </c>
      <c r="J65" s="272"/>
      <c r="K65" s="272"/>
      <c r="L65" s="271"/>
      <c r="M65" s="281"/>
      <c r="N65" s="274">
        <f t="shared" si="37"/>
        <v>58540621</v>
      </c>
      <c r="P65" s="161">
        <v>28040621</v>
      </c>
      <c r="Q65" s="162">
        <v>0</v>
      </c>
      <c r="R65" s="162">
        <v>4857550</v>
      </c>
      <c r="S65" s="142">
        <v>9102350</v>
      </c>
      <c r="T65" s="141"/>
      <c r="U65" s="137">
        <f t="shared" ref="U65:U80" si="38">SUM(P65:T65)</f>
        <v>42000521</v>
      </c>
      <c r="V65" s="140">
        <f t="shared" ref="V65:V80" si="39">+N65-U65</f>
        <v>16540100</v>
      </c>
      <c r="X65" s="130"/>
      <c r="Y65" s="130"/>
      <c r="AB65" s="131"/>
      <c r="AC65" s="130"/>
    </row>
    <row r="66" spans="2:29" x14ac:dyDescent="0.25">
      <c r="B66" s="11" t="s">
        <v>30</v>
      </c>
      <c r="C66" s="252">
        <v>0</v>
      </c>
      <c r="D66" s="253"/>
      <c r="E66" s="254">
        <v>0</v>
      </c>
      <c r="F66" s="255"/>
      <c r="G66" s="255"/>
      <c r="H66" s="255"/>
      <c r="I66" s="255">
        <v>0</v>
      </c>
      <c r="J66" s="255"/>
      <c r="K66" s="255"/>
      <c r="L66" s="254"/>
      <c r="M66" s="256"/>
      <c r="N66" s="269">
        <f t="shared" si="37"/>
        <v>0</v>
      </c>
      <c r="P66" s="141"/>
      <c r="Q66" s="138"/>
      <c r="R66" s="138"/>
      <c r="S66" s="142"/>
      <c r="T66" s="141"/>
      <c r="U66" s="137">
        <f t="shared" si="38"/>
        <v>0</v>
      </c>
      <c r="V66" s="140">
        <f t="shared" si="39"/>
        <v>0</v>
      </c>
      <c r="X66" s="130"/>
      <c r="Y66" s="130"/>
      <c r="AB66" s="131"/>
      <c r="AC66" s="130"/>
    </row>
    <row r="67" spans="2:29" x14ac:dyDescent="0.25">
      <c r="B67" s="11" t="s">
        <v>31</v>
      </c>
      <c r="C67" s="252">
        <v>6721000</v>
      </c>
      <c r="D67" s="253"/>
      <c r="E67" s="254">
        <v>1925000</v>
      </c>
      <c r="F67" s="255"/>
      <c r="G67" s="255"/>
      <c r="H67" s="255"/>
      <c r="I67" s="255">
        <v>-105744</v>
      </c>
      <c r="J67" s="255"/>
      <c r="K67" s="255"/>
      <c r="L67" s="254"/>
      <c r="M67" s="256"/>
      <c r="N67" s="269">
        <f t="shared" si="37"/>
        <v>8540256</v>
      </c>
      <c r="P67" s="141">
        <v>2052253</v>
      </c>
      <c r="Q67" s="138">
        <v>1750503</v>
      </c>
      <c r="R67" s="138">
        <v>1860468</v>
      </c>
      <c r="S67" s="142">
        <v>2080399</v>
      </c>
      <c r="T67" s="141">
        <v>0</v>
      </c>
      <c r="U67" s="137">
        <f t="shared" si="38"/>
        <v>7743623</v>
      </c>
      <c r="V67" s="140">
        <f t="shared" si="39"/>
        <v>796633</v>
      </c>
      <c r="X67" s="130"/>
      <c r="Y67" s="130"/>
      <c r="AB67" s="131"/>
      <c r="AC67" s="130"/>
    </row>
    <row r="68" spans="2:29" x14ac:dyDescent="0.25">
      <c r="B68" s="11" t="s">
        <v>32</v>
      </c>
      <c r="C68" s="252">
        <v>2732400</v>
      </c>
      <c r="D68" s="253"/>
      <c r="E68" s="254">
        <v>7920</v>
      </c>
      <c r="F68" s="255"/>
      <c r="G68" s="255"/>
      <c r="H68" s="255"/>
      <c r="I68" s="255">
        <v>0</v>
      </c>
      <c r="J68" s="255"/>
      <c r="K68" s="255"/>
      <c r="L68" s="254"/>
      <c r="M68" s="256"/>
      <c r="N68" s="269">
        <f t="shared" si="37"/>
        <v>2740320</v>
      </c>
      <c r="P68" s="141">
        <v>683100</v>
      </c>
      <c r="Q68" s="138">
        <v>274900</v>
      </c>
      <c r="R68" s="138">
        <v>438000</v>
      </c>
      <c r="S68" s="142">
        <v>1090000</v>
      </c>
      <c r="T68" s="141"/>
      <c r="U68" s="137">
        <f t="shared" si="38"/>
        <v>2486000</v>
      </c>
      <c r="V68" s="140">
        <f t="shared" si="39"/>
        <v>254320</v>
      </c>
      <c r="X68" s="130"/>
      <c r="Y68" s="130"/>
      <c r="AB68" s="131"/>
      <c r="AC68" s="130"/>
    </row>
    <row r="69" spans="2:29" x14ac:dyDescent="0.25">
      <c r="B69" s="11" t="s">
        <v>33</v>
      </c>
      <c r="C69" s="252">
        <v>180075881</v>
      </c>
      <c r="D69" s="253"/>
      <c r="E69" s="254">
        <v>358932</v>
      </c>
      <c r="F69" s="255"/>
      <c r="G69" s="255"/>
      <c r="H69" s="255"/>
      <c r="I69" s="255">
        <v>-68534862</v>
      </c>
      <c r="J69" s="255"/>
      <c r="K69" s="255"/>
      <c r="L69" s="254"/>
      <c r="M69" s="256"/>
      <c r="N69" s="269">
        <f t="shared" si="37"/>
        <v>111899951</v>
      </c>
      <c r="P69" s="141">
        <v>21976523</v>
      </c>
      <c r="Q69" s="138">
        <v>23839756</v>
      </c>
      <c r="R69" s="138">
        <v>27787962</v>
      </c>
      <c r="S69" s="142">
        <v>22979232</v>
      </c>
      <c r="T69" s="141"/>
      <c r="U69" s="137">
        <f t="shared" si="38"/>
        <v>96583473</v>
      </c>
      <c r="V69" s="140">
        <f t="shared" si="39"/>
        <v>15316478</v>
      </c>
      <c r="X69" s="130"/>
      <c r="Y69" s="130"/>
      <c r="AB69" s="131"/>
      <c r="AC69" s="130"/>
    </row>
    <row r="70" spans="2:29" x14ac:dyDescent="0.25">
      <c r="B70" s="11" t="s">
        <v>34</v>
      </c>
      <c r="C70" s="252">
        <v>273692798</v>
      </c>
      <c r="D70" s="253"/>
      <c r="E70" s="254">
        <v>262594</v>
      </c>
      <c r="F70" s="255"/>
      <c r="G70" s="255"/>
      <c r="H70" s="255"/>
      <c r="I70" s="255">
        <v>-187570302</v>
      </c>
      <c r="J70" s="255"/>
      <c r="K70" s="255"/>
      <c r="L70" s="254"/>
      <c r="M70" s="256"/>
      <c r="N70" s="269">
        <f t="shared" si="37"/>
        <v>86385090</v>
      </c>
      <c r="P70" s="141">
        <v>56177190</v>
      </c>
      <c r="Q70" s="138">
        <v>14767900</v>
      </c>
      <c r="R70" s="138">
        <v>800983</v>
      </c>
      <c r="S70" s="142">
        <v>1635390</v>
      </c>
      <c r="T70" s="141"/>
      <c r="U70" s="137">
        <f t="shared" si="38"/>
        <v>73381463</v>
      </c>
      <c r="V70" s="140">
        <f t="shared" si="39"/>
        <v>13003627</v>
      </c>
      <c r="X70" s="130"/>
      <c r="Y70" s="130"/>
      <c r="AB70" s="131"/>
      <c r="AC70" s="130"/>
    </row>
    <row r="71" spans="2:29" x14ac:dyDescent="0.25">
      <c r="B71" s="11" t="s">
        <v>35</v>
      </c>
      <c r="C71" s="252">
        <v>24140000</v>
      </c>
      <c r="D71" s="253"/>
      <c r="E71" s="254">
        <v>12000</v>
      </c>
      <c r="F71" s="255"/>
      <c r="G71" s="255"/>
      <c r="H71" s="255"/>
      <c r="I71" s="255">
        <v>0</v>
      </c>
      <c r="J71" s="255"/>
      <c r="K71" s="255"/>
      <c r="L71" s="254"/>
      <c r="M71" s="256"/>
      <c r="N71" s="269">
        <f t="shared" si="37"/>
        <v>24152000</v>
      </c>
      <c r="P71" s="141"/>
      <c r="Q71" s="138"/>
      <c r="R71" s="138"/>
      <c r="S71" s="142">
        <v>3950000</v>
      </c>
      <c r="T71" s="141"/>
      <c r="U71" s="137">
        <f t="shared" si="38"/>
        <v>3950000</v>
      </c>
      <c r="V71" s="140">
        <f t="shared" si="39"/>
        <v>20202000</v>
      </c>
      <c r="X71" s="130"/>
      <c r="Y71" s="130"/>
      <c r="AB71" s="131"/>
      <c r="AC71" s="130"/>
    </row>
    <row r="72" spans="2:29" x14ac:dyDescent="0.25">
      <c r="B72" s="11" t="s">
        <v>36</v>
      </c>
      <c r="C72" s="252">
        <v>68704000</v>
      </c>
      <c r="D72" s="253"/>
      <c r="E72" s="254">
        <v>0</v>
      </c>
      <c r="F72" s="255"/>
      <c r="G72" s="255"/>
      <c r="H72" s="255"/>
      <c r="I72" s="255">
        <v>-44982067</v>
      </c>
      <c r="J72" s="255"/>
      <c r="K72" s="255"/>
      <c r="L72" s="254"/>
      <c r="M72" s="256"/>
      <c r="N72" s="269">
        <f t="shared" si="37"/>
        <v>23721933</v>
      </c>
      <c r="P72" s="141">
        <v>19326926</v>
      </c>
      <c r="Q72" s="138">
        <v>0</v>
      </c>
      <c r="R72" s="138">
        <v>1726086</v>
      </c>
      <c r="S72" s="173">
        <v>1351881</v>
      </c>
      <c r="T72" s="141"/>
      <c r="U72" s="137">
        <f t="shared" si="38"/>
        <v>22404893</v>
      </c>
      <c r="V72" s="140">
        <f t="shared" si="39"/>
        <v>1317040</v>
      </c>
      <c r="X72" s="130"/>
      <c r="Y72" s="130"/>
      <c r="AB72" s="131"/>
      <c r="AC72" s="130"/>
    </row>
    <row r="73" spans="2:29" x14ac:dyDescent="0.25">
      <c r="B73" s="11" t="s">
        <v>65</v>
      </c>
      <c r="C73" s="252">
        <v>1724816</v>
      </c>
      <c r="D73" s="253"/>
      <c r="E73" s="254">
        <v>0</v>
      </c>
      <c r="F73" s="255"/>
      <c r="G73" s="255"/>
      <c r="H73" s="255"/>
      <c r="I73" s="255">
        <v>-20002</v>
      </c>
      <c r="J73" s="255"/>
      <c r="K73" s="255"/>
      <c r="L73" s="254"/>
      <c r="M73" s="256"/>
      <c r="N73" s="269">
        <f t="shared" si="37"/>
        <v>1704814</v>
      </c>
      <c r="P73" s="141">
        <v>501452</v>
      </c>
      <c r="Q73" s="138">
        <v>0</v>
      </c>
      <c r="R73" s="138">
        <v>600000</v>
      </c>
      <c r="S73" s="142">
        <v>572666</v>
      </c>
      <c r="T73" s="141"/>
      <c r="U73" s="137">
        <f t="shared" si="38"/>
        <v>1674118</v>
      </c>
      <c r="V73" s="140">
        <f t="shared" si="39"/>
        <v>30696</v>
      </c>
      <c r="X73" s="130"/>
      <c r="Y73" s="130"/>
      <c r="AB73" s="131"/>
      <c r="AC73" s="130"/>
    </row>
    <row r="74" spans="2:29" x14ac:dyDescent="0.25">
      <c r="B74" s="11" t="s">
        <v>37</v>
      </c>
      <c r="C74" s="252">
        <v>11857120</v>
      </c>
      <c r="D74" s="253"/>
      <c r="E74" s="254">
        <v>1296</v>
      </c>
      <c r="F74" s="255"/>
      <c r="G74" s="255"/>
      <c r="H74" s="255"/>
      <c r="I74" s="255">
        <v>-6330500</v>
      </c>
      <c r="J74" s="255"/>
      <c r="K74" s="255"/>
      <c r="L74" s="254"/>
      <c r="M74" s="256"/>
      <c r="N74" s="269">
        <f t="shared" si="37"/>
        <v>5527916</v>
      </c>
      <c r="P74" s="141">
        <v>169803</v>
      </c>
      <c r="Q74" s="138">
        <v>0</v>
      </c>
      <c r="R74" s="138">
        <v>1790000</v>
      </c>
      <c r="S74" s="142">
        <v>2908002</v>
      </c>
      <c r="T74" s="141"/>
      <c r="U74" s="137">
        <f t="shared" si="38"/>
        <v>4867805</v>
      </c>
      <c r="V74" s="140">
        <f t="shared" si="39"/>
        <v>660111</v>
      </c>
      <c r="X74" s="130"/>
      <c r="Y74" s="130"/>
      <c r="AB74" s="131"/>
      <c r="AC74" s="130"/>
    </row>
    <row r="75" spans="2:29" x14ac:dyDescent="0.25">
      <c r="B75" s="11" t="s">
        <v>38</v>
      </c>
      <c r="C75" s="252">
        <v>0</v>
      </c>
      <c r="D75" s="253"/>
      <c r="E75" s="254">
        <v>0</v>
      </c>
      <c r="F75" s="255"/>
      <c r="G75" s="255"/>
      <c r="H75" s="255"/>
      <c r="I75" s="255">
        <v>0</v>
      </c>
      <c r="J75" s="255"/>
      <c r="K75" s="255"/>
      <c r="L75" s="254"/>
      <c r="M75" s="256"/>
      <c r="N75" s="269">
        <f t="shared" si="37"/>
        <v>0</v>
      </c>
      <c r="P75" s="141"/>
      <c r="Q75" s="138"/>
      <c r="R75" s="138"/>
      <c r="S75" s="142"/>
      <c r="T75" s="141"/>
      <c r="U75" s="137">
        <f t="shared" si="38"/>
        <v>0</v>
      </c>
      <c r="V75" s="140">
        <f t="shared" si="39"/>
        <v>0</v>
      </c>
      <c r="X75" s="130"/>
      <c r="Y75" s="130"/>
      <c r="AB75" s="131"/>
      <c r="AC75" s="130"/>
    </row>
    <row r="76" spans="2:29" x14ac:dyDescent="0.25">
      <c r="B76" s="11" t="s">
        <v>39</v>
      </c>
      <c r="C76" s="252">
        <v>0</v>
      </c>
      <c r="D76" s="253"/>
      <c r="E76" s="254">
        <v>0</v>
      </c>
      <c r="F76" s="255"/>
      <c r="G76" s="255"/>
      <c r="H76" s="255"/>
      <c r="I76" s="255">
        <v>0</v>
      </c>
      <c r="J76" s="255"/>
      <c r="K76" s="255"/>
      <c r="L76" s="254"/>
      <c r="M76" s="256"/>
      <c r="N76" s="269">
        <f t="shared" si="37"/>
        <v>0</v>
      </c>
      <c r="P76" s="141"/>
      <c r="Q76" s="138"/>
      <c r="R76" s="138"/>
      <c r="S76" s="142"/>
      <c r="T76" s="141"/>
      <c r="U76" s="137">
        <f t="shared" si="38"/>
        <v>0</v>
      </c>
      <c r="V76" s="140">
        <f t="shared" si="39"/>
        <v>0</v>
      </c>
      <c r="X76" s="130"/>
      <c r="Y76" s="130"/>
      <c r="AB76" s="131"/>
      <c r="AC76" s="130"/>
    </row>
    <row r="77" spans="2:29" x14ac:dyDescent="0.25">
      <c r="B77" s="11" t="s">
        <v>43</v>
      </c>
      <c r="C77" s="252">
        <v>0</v>
      </c>
      <c r="D77" s="253"/>
      <c r="E77" s="254">
        <v>0</v>
      </c>
      <c r="F77" s="255"/>
      <c r="G77" s="255"/>
      <c r="H77" s="255"/>
      <c r="I77" s="255">
        <v>0</v>
      </c>
      <c r="J77" s="255"/>
      <c r="K77" s="255"/>
      <c r="L77" s="254"/>
      <c r="M77" s="256"/>
      <c r="N77" s="269">
        <f t="shared" si="37"/>
        <v>0</v>
      </c>
      <c r="P77" s="141"/>
      <c r="Q77" s="138"/>
      <c r="R77" s="138"/>
      <c r="S77" s="142"/>
      <c r="T77" s="141"/>
      <c r="U77" s="137">
        <f t="shared" si="38"/>
        <v>0</v>
      </c>
      <c r="V77" s="140">
        <f t="shared" si="39"/>
        <v>0</v>
      </c>
      <c r="X77" s="130"/>
      <c r="Y77" s="130"/>
      <c r="AB77" s="131"/>
      <c r="AC77" s="130"/>
    </row>
    <row r="78" spans="2:29" x14ac:dyDescent="0.25">
      <c r="B78" s="11" t="s">
        <v>66</v>
      </c>
      <c r="C78" s="252">
        <v>0</v>
      </c>
      <c r="D78" s="253"/>
      <c r="E78" s="254">
        <v>0</v>
      </c>
      <c r="F78" s="255"/>
      <c r="G78" s="255"/>
      <c r="H78" s="255"/>
      <c r="I78" s="255">
        <v>0</v>
      </c>
      <c r="J78" s="255"/>
      <c r="K78" s="255"/>
      <c r="L78" s="254"/>
      <c r="M78" s="256"/>
      <c r="N78" s="269">
        <f t="shared" si="37"/>
        <v>0</v>
      </c>
      <c r="P78" s="141"/>
      <c r="Q78" s="138"/>
      <c r="R78" s="138"/>
      <c r="S78" s="142"/>
      <c r="T78" s="141"/>
      <c r="U78" s="137">
        <f>SUM(P78:T78)</f>
        <v>0</v>
      </c>
      <c r="V78" s="140">
        <f t="shared" si="39"/>
        <v>0</v>
      </c>
      <c r="X78" s="130"/>
      <c r="Y78" s="130"/>
      <c r="AB78" s="131"/>
      <c r="AC78" s="130"/>
    </row>
    <row r="79" spans="2:29" x14ac:dyDescent="0.25">
      <c r="B79" s="11" t="s">
        <v>40</v>
      </c>
      <c r="C79" s="252">
        <v>0</v>
      </c>
      <c r="D79" s="275"/>
      <c r="E79" s="276">
        <v>0</v>
      </c>
      <c r="F79" s="277"/>
      <c r="G79" s="277"/>
      <c r="H79" s="277"/>
      <c r="I79" s="277">
        <v>0</v>
      </c>
      <c r="J79" s="277"/>
      <c r="K79" s="277"/>
      <c r="L79" s="276"/>
      <c r="M79" s="278"/>
      <c r="N79" s="279">
        <f t="shared" si="37"/>
        <v>0</v>
      </c>
      <c r="P79" s="168"/>
      <c r="Q79" s="169"/>
      <c r="R79" s="169"/>
      <c r="S79" s="142"/>
      <c r="T79" s="141"/>
      <c r="U79" s="137">
        <f t="shared" si="38"/>
        <v>0</v>
      </c>
      <c r="V79" s="140">
        <f t="shared" si="39"/>
        <v>0</v>
      </c>
      <c r="X79" s="130"/>
      <c r="Y79" s="130"/>
      <c r="AB79" s="131"/>
      <c r="AC79" s="130"/>
    </row>
    <row r="80" spans="2:29" x14ac:dyDescent="0.25">
      <c r="B80" s="11" t="s">
        <v>41</v>
      </c>
      <c r="C80" s="252">
        <v>0</v>
      </c>
      <c r="D80" s="275"/>
      <c r="E80" s="276">
        <v>0</v>
      </c>
      <c r="F80" s="277"/>
      <c r="G80" s="277"/>
      <c r="H80" s="277"/>
      <c r="I80" s="277">
        <v>0</v>
      </c>
      <c r="J80" s="277"/>
      <c r="K80" s="277"/>
      <c r="L80" s="276"/>
      <c r="M80" s="278"/>
      <c r="N80" s="279">
        <f t="shared" si="37"/>
        <v>0</v>
      </c>
      <c r="P80" s="168"/>
      <c r="Q80" s="169"/>
      <c r="R80" s="169"/>
      <c r="S80" s="142"/>
      <c r="T80" s="141"/>
      <c r="U80" s="137">
        <f t="shared" si="38"/>
        <v>0</v>
      </c>
      <c r="V80" s="140">
        <f t="shared" si="39"/>
        <v>0</v>
      </c>
      <c r="X80" s="130"/>
      <c r="Y80" s="130"/>
      <c r="AB80" s="131"/>
      <c r="AC80" s="130"/>
    </row>
    <row r="81" spans="2:29" x14ac:dyDescent="0.25">
      <c r="B81" s="6" t="s">
        <v>44</v>
      </c>
      <c r="C81" s="291">
        <f t="shared" ref="C81:N81" si="40">+C82+C95+C99</f>
        <v>1201158848</v>
      </c>
      <c r="D81" s="292">
        <f t="shared" si="40"/>
        <v>0</v>
      </c>
      <c r="E81" s="293">
        <f t="shared" si="40"/>
        <v>24024000</v>
      </c>
      <c r="F81" s="294">
        <f t="shared" si="40"/>
        <v>700650000</v>
      </c>
      <c r="G81" s="294">
        <f t="shared" si="40"/>
        <v>-150000000</v>
      </c>
      <c r="H81" s="294">
        <f t="shared" si="40"/>
        <v>0</v>
      </c>
      <c r="I81" s="294">
        <f t="shared" si="40"/>
        <v>-100873874</v>
      </c>
      <c r="J81" s="294">
        <f t="shared" si="40"/>
        <v>0</v>
      </c>
      <c r="K81" s="294">
        <f t="shared" si="40"/>
        <v>0</v>
      </c>
      <c r="L81" s="293"/>
      <c r="M81" s="295"/>
      <c r="N81" s="280">
        <f t="shared" si="40"/>
        <v>1674958974</v>
      </c>
      <c r="P81" s="170">
        <f t="shared" ref="P81:V81" si="41">+P82+P95+P99</f>
        <v>115050000</v>
      </c>
      <c r="Q81" s="192">
        <f t="shared" si="41"/>
        <v>283844817</v>
      </c>
      <c r="R81" s="192">
        <f t="shared" si="41"/>
        <v>336604882</v>
      </c>
      <c r="S81" s="193">
        <f t="shared" si="41"/>
        <v>869634421</v>
      </c>
      <c r="T81" s="170">
        <f t="shared" si="41"/>
        <v>0</v>
      </c>
      <c r="U81" s="170">
        <f t="shared" si="41"/>
        <v>1605134120</v>
      </c>
      <c r="V81" s="171">
        <f t="shared" si="41"/>
        <v>69824854</v>
      </c>
      <c r="X81" s="130"/>
      <c r="Y81" s="130"/>
      <c r="AB81" s="131"/>
      <c r="AC81" s="130"/>
    </row>
    <row r="82" spans="2:29" x14ac:dyDescent="0.25">
      <c r="B82" s="12" t="s">
        <v>45</v>
      </c>
      <c r="C82" s="291">
        <f>SUM(C83:C94)</f>
        <v>361158848</v>
      </c>
      <c r="D82" s="292">
        <f t="shared" ref="D82:N82" si="42">SUM(D83:D94)</f>
        <v>0</v>
      </c>
      <c r="E82" s="293">
        <f t="shared" si="42"/>
        <v>24024000</v>
      </c>
      <c r="F82" s="294">
        <f t="shared" si="42"/>
        <v>0</v>
      </c>
      <c r="G82" s="294">
        <f t="shared" si="42"/>
        <v>0</v>
      </c>
      <c r="H82" s="294">
        <f t="shared" si="42"/>
        <v>0</v>
      </c>
      <c r="I82" s="294">
        <f t="shared" si="42"/>
        <v>-44091856</v>
      </c>
      <c r="J82" s="294">
        <f t="shared" si="42"/>
        <v>0</v>
      </c>
      <c r="K82" s="294">
        <f t="shared" si="42"/>
        <v>0</v>
      </c>
      <c r="L82" s="293"/>
      <c r="M82" s="295"/>
      <c r="N82" s="280">
        <f t="shared" si="42"/>
        <v>341090992</v>
      </c>
      <c r="P82" s="170">
        <f t="shared" ref="P82:T82" si="43">SUM(P83:P94)</f>
        <v>115050000</v>
      </c>
      <c r="Q82" s="170">
        <f t="shared" si="43"/>
        <v>79844817</v>
      </c>
      <c r="R82" s="170">
        <f t="shared" si="43"/>
        <v>52460981</v>
      </c>
      <c r="S82" s="170">
        <f t="shared" si="43"/>
        <v>24567023</v>
      </c>
      <c r="T82" s="170">
        <f t="shared" si="43"/>
        <v>0</v>
      </c>
      <c r="U82" s="170">
        <f>SUM(U83:U94)</f>
        <v>271922821</v>
      </c>
      <c r="V82" s="171">
        <f>SUM(V83:V94)</f>
        <v>69168171</v>
      </c>
      <c r="X82" s="130"/>
      <c r="Y82" s="130"/>
      <c r="AB82" s="131"/>
      <c r="AC82" s="130"/>
    </row>
    <row r="83" spans="2:29" x14ac:dyDescent="0.25">
      <c r="B83" s="7" t="s">
        <v>112</v>
      </c>
      <c r="C83" s="252">
        <v>84700000</v>
      </c>
      <c r="D83" s="270"/>
      <c r="E83" s="271">
        <v>0</v>
      </c>
      <c r="F83" s="272"/>
      <c r="G83" s="272"/>
      <c r="H83" s="272"/>
      <c r="I83" s="272">
        <v>0</v>
      </c>
      <c r="J83" s="272"/>
      <c r="K83" s="272"/>
      <c r="L83" s="271"/>
      <c r="M83" s="281"/>
      <c r="N83" s="274">
        <f t="shared" ref="N83:N94" si="44">SUM(C83:M83)</f>
        <v>84700000</v>
      </c>
      <c r="P83" s="161">
        <v>70050000</v>
      </c>
      <c r="Q83" s="162">
        <v>4870000</v>
      </c>
      <c r="R83" s="162">
        <v>8400000</v>
      </c>
      <c r="S83" s="142"/>
      <c r="T83" s="141"/>
      <c r="U83" s="137">
        <f t="shared" ref="U83:U94" si="45">SUM(P83:T83)</f>
        <v>83320000</v>
      </c>
      <c r="V83" s="140">
        <f>+N83-U83</f>
        <v>1380000</v>
      </c>
      <c r="X83" s="130"/>
      <c r="Y83" s="130"/>
      <c r="AB83" s="131"/>
      <c r="AC83" s="130"/>
    </row>
    <row r="84" spans="2:29" x14ac:dyDescent="0.25">
      <c r="B84" s="7" t="s">
        <v>71</v>
      </c>
      <c r="C84" s="252">
        <v>16920000</v>
      </c>
      <c r="D84" s="253"/>
      <c r="E84" s="254">
        <v>0</v>
      </c>
      <c r="F84" s="255"/>
      <c r="G84" s="255"/>
      <c r="H84" s="255"/>
      <c r="I84" s="255">
        <v>-133008</v>
      </c>
      <c r="J84" s="255"/>
      <c r="K84" s="255"/>
      <c r="L84" s="254"/>
      <c r="M84" s="256"/>
      <c r="N84" s="269">
        <f t="shared" si="44"/>
        <v>16786992</v>
      </c>
      <c r="P84" s="141"/>
      <c r="Q84" s="138">
        <v>5986992</v>
      </c>
      <c r="R84" s="138">
        <v>3076500</v>
      </c>
      <c r="S84" s="142">
        <v>0</v>
      </c>
      <c r="T84" s="141"/>
      <c r="U84" s="137">
        <f t="shared" si="45"/>
        <v>9063492</v>
      </c>
      <c r="V84" s="140">
        <f>+N84-U84</f>
        <v>7723500</v>
      </c>
      <c r="X84" s="130"/>
      <c r="Y84" s="130"/>
      <c r="AB84" s="131"/>
      <c r="AC84" s="130"/>
    </row>
    <row r="85" spans="2:29" x14ac:dyDescent="0.25">
      <c r="B85" s="7" t="s">
        <v>72</v>
      </c>
      <c r="C85" s="252">
        <v>120800000</v>
      </c>
      <c r="D85" s="253"/>
      <c r="E85" s="254">
        <v>0</v>
      </c>
      <c r="F85" s="255"/>
      <c r="G85" s="255"/>
      <c r="H85" s="255"/>
      <c r="I85" s="255">
        <v>-24800000</v>
      </c>
      <c r="J85" s="255"/>
      <c r="K85" s="255"/>
      <c r="L85" s="254"/>
      <c r="M85" s="256"/>
      <c r="N85" s="269">
        <f t="shared" si="44"/>
        <v>96000000</v>
      </c>
      <c r="P85" s="141">
        <v>45000000</v>
      </c>
      <c r="Q85" s="138">
        <v>45000000</v>
      </c>
      <c r="R85" s="138">
        <v>3202800</v>
      </c>
      <c r="S85" s="142">
        <v>0</v>
      </c>
      <c r="T85" s="141"/>
      <c r="U85" s="137">
        <f t="shared" si="45"/>
        <v>93202800</v>
      </c>
      <c r="V85" s="140">
        <f>+N85-U85</f>
        <v>2797200</v>
      </c>
      <c r="X85" s="130"/>
      <c r="Y85" s="130"/>
      <c r="AB85" s="131"/>
      <c r="AC85" s="130"/>
    </row>
    <row r="86" spans="2:29" x14ac:dyDescent="0.25">
      <c r="B86" s="7" t="s">
        <v>113</v>
      </c>
      <c r="C86" s="252">
        <v>35000000</v>
      </c>
      <c r="D86" s="253"/>
      <c r="E86" s="254">
        <v>0</v>
      </c>
      <c r="F86" s="255"/>
      <c r="G86" s="255"/>
      <c r="H86" s="255"/>
      <c r="I86" s="255">
        <v>0</v>
      </c>
      <c r="J86" s="255"/>
      <c r="K86" s="255"/>
      <c r="L86" s="254"/>
      <c r="M86" s="256"/>
      <c r="N86" s="269">
        <f t="shared" si="44"/>
        <v>35000000</v>
      </c>
      <c r="P86" s="141"/>
      <c r="Q86" s="138"/>
      <c r="R86" s="138">
        <v>17482500</v>
      </c>
      <c r="S86" s="142">
        <v>17482500</v>
      </c>
      <c r="T86" s="141"/>
      <c r="U86" s="137">
        <f t="shared" si="45"/>
        <v>34965000</v>
      </c>
      <c r="V86" s="140">
        <f t="shared" ref="V86:V94" si="46">+N86-U86</f>
        <v>35000</v>
      </c>
      <c r="X86" s="130"/>
      <c r="Y86" s="130"/>
      <c r="AB86" s="131"/>
      <c r="AC86" s="130"/>
    </row>
    <row r="87" spans="2:29" x14ac:dyDescent="0.25">
      <c r="B87" s="7" t="s">
        <v>74</v>
      </c>
      <c r="C87" s="252">
        <v>8280000</v>
      </c>
      <c r="D87" s="253"/>
      <c r="E87" s="254">
        <v>24000</v>
      </c>
      <c r="F87" s="255"/>
      <c r="G87" s="255"/>
      <c r="H87" s="255"/>
      <c r="I87" s="255">
        <v>0</v>
      </c>
      <c r="J87" s="255"/>
      <c r="K87" s="255"/>
      <c r="L87" s="254"/>
      <c r="M87" s="256"/>
      <c r="N87" s="269">
        <f t="shared" si="44"/>
        <v>8304000</v>
      </c>
      <c r="P87" s="141"/>
      <c r="Q87" s="138"/>
      <c r="R87" s="138">
        <v>4000000</v>
      </c>
      <c r="S87" s="142"/>
      <c r="T87" s="141"/>
      <c r="U87" s="137">
        <f t="shared" si="45"/>
        <v>4000000</v>
      </c>
      <c r="V87" s="140">
        <f t="shared" si="46"/>
        <v>4304000</v>
      </c>
      <c r="X87" s="130"/>
      <c r="Y87" s="130"/>
      <c r="AB87" s="131"/>
      <c r="AC87" s="130"/>
    </row>
    <row r="88" spans="2:29" x14ac:dyDescent="0.25">
      <c r="B88" s="7" t="s">
        <v>75</v>
      </c>
      <c r="C88" s="252">
        <v>10000000</v>
      </c>
      <c r="D88" s="253"/>
      <c r="E88" s="254">
        <v>0</v>
      </c>
      <c r="F88" s="255"/>
      <c r="G88" s="255"/>
      <c r="H88" s="255"/>
      <c r="I88" s="255">
        <v>0</v>
      </c>
      <c r="J88" s="255"/>
      <c r="K88" s="255"/>
      <c r="L88" s="254"/>
      <c r="M88" s="256"/>
      <c r="N88" s="269">
        <f t="shared" si="44"/>
        <v>10000000</v>
      </c>
      <c r="P88" s="141"/>
      <c r="Q88" s="138"/>
      <c r="R88" s="138">
        <v>3915677</v>
      </c>
      <c r="S88" s="142">
        <v>4151246</v>
      </c>
      <c r="T88" s="141"/>
      <c r="U88" s="137">
        <f t="shared" si="45"/>
        <v>8066923</v>
      </c>
      <c r="V88" s="140">
        <f t="shared" si="46"/>
        <v>1933077</v>
      </c>
      <c r="X88" s="130"/>
      <c r="Y88" s="130"/>
      <c r="AB88" s="131"/>
      <c r="AC88" s="130"/>
    </row>
    <row r="89" spans="2:29" x14ac:dyDescent="0.25">
      <c r="B89" s="7" t="s">
        <v>76</v>
      </c>
      <c r="C89" s="252">
        <v>21000000</v>
      </c>
      <c r="D89" s="253"/>
      <c r="E89" s="254">
        <v>0</v>
      </c>
      <c r="F89" s="255"/>
      <c r="G89" s="255"/>
      <c r="H89" s="255"/>
      <c r="I89" s="255">
        <v>0</v>
      </c>
      <c r="J89" s="255"/>
      <c r="K89" s="255"/>
      <c r="L89" s="254"/>
      <c r="M89" s="256"/>
      <c r="N89" s="269">
        <f t="shared" si="44"/>
        <v>21000000</v>
      </c>
      <c r="P89" s="141"/>
      <c r="Q89" s="138"/>
      <c r="R89" s="138"/>
      <c r="S89" s="142">
        <v>221436</v>
      </c>
      <c r="T89" s="141"/>
      <c r="U89" s="137">
        <f t="shared" si="45"/>
        <v>221436</v>
      </c>
      <c r="V89" s="140">
        <f t="shared" si="46"/>
        <v>20778564</v>
      </c>
      <c r="X89" s="130"/>
      <c r="Y89" s="130"/>
      <c r="AB89" s="131"/>
      <c r="AC89" s="130"/>
    </row>
    <row r="90" spans="2:29" x14ac:dyDescent="0.25">
      <c r="B90" s="7" t="s">
        <v>77</v>
      </c>
      <c r="C90" s="252">
        <v>6000000</v>
      </c>
      <c r="D90" s="253"/>
      <c r="E90" s="254">
        <v>0</v>
      </c>
      <c r="F90" s="255"/>
      <c r="G90" s="255"/>
      <c r="H90" s="255"/>
      <c r="I90" s="255">
        <v>0</v>
      </c>
      <c r="J90" s="255"/>
      <c r="K90" s="255"/>
      <c r="L90" s="254"/>
      <c r="M90" s="256"/>
      <c r="N90" s="269">
        <f t="shared" si="44"/>
        <v>6000000</v>
      </c>
      <c r="P90" s="141"/>
      <c r="Q90" s="138"/>
      <c r="R90" s="138"/>
      <c r="S90" s="142"/>
      <c r="T90" s="141"/>
      <c r="U90" s="137">
        <f t="shared" si="45"/>
        <v>0</v>
      </c>
      <c r="V90" s="140">
        <f t="shared" si="46"/>
        <v>6000000</v>
      </c>
      <c r="X90" s="130"/>
      <c r="Y90" s="130"/>
      <c r="AB90" s="131"/>
      <c r="AC90" s="130"/>
    </row>
    <row r="91" spans="2:29" x14ac:dyDescent="0.25">
      <c r="B91" s="7" t="s">
        <v>78</v>
      </c>
      <c r="C91" s="252">
        <v>27500000</v>
      </c>
      <c r="D91" s="253"/>
      <c r="E91" s="254">
        <v>0</v>
      </c>
      <c r="F91" s="255"/>
      <c r="G91" s="255"/>
      <c r="H91" s="255"/>
      <c r="I91" s="255">
        <v>-10000000</v>
      </c>
      <c r="J91" s="255"/>
      <c r="K91" s="255"/>
      <c r="L91" s="254"/>
      <c r="M91" s="256"/>
      <c r="N91" s="269">
        <f t="shared" si="44"/>
        <v>17500000</v>
      </c>
      <c r="P91" s="141"/>
      <c r="Q91" s="138"/>
      <c r="R91" s="138">
        <v>12383504</v>
      </c>
      <c r="S91" s="142">
        <v>2711841</v>
      </c>
      <c r="T91" s="141"/>
      <c r="U91" s="137">
        <f t="shared" si="45"/>
        <v>15095345</v>
      </c>
      <c r="V91" s="140">
        <f t="shared" si="46"/>
        <v>2404655</v>
      </c>
      <c r="X91" s="130"/>
      <c r="Y91" s="130"/>
      <c r="AB91" s="131"/>
      <c r="AC91" s="130"/>
    </row>
    <row r="92" spans="2:29" x14ac:dyDescent="0.25">
      <c r="B92" s="7" t="s">
        <v>114</v>
      </c>
      <c r="C92" s="252">
        <v>0</v>
      </c>
      <c r="D92" s="253"/>
      <c r="E92" s="254">
        <v>24000000</v>
      </c>
      <c r="F92" s="255"/>
      <c r="G92" s="255"/>
      <c r="H92" s="255"/>
      <c r="I92" s="255">
        <v>0</v>
      </c>
      <c r="J92" s="255"/>
      <c r="K92" s="255"/>
      <c r="L92" s="254"/>
      <c r="M92" s="256"/>
      <c r="N92" s="269">
        <f t="shared" si="44"/>
        <v>24000000</v>
      </c>
      <c r="P92" s="141"/>
      <c r="Q92" s="138">
        <v>23987825</v>
      </c>
      <c r="R92" s="138"/>
      <c r="S92" s="142"/>
      <c r="T92" s="141"/>
      <c r="U92" s="137">
        <f t="shared" si="45"/>
        <v>23987825</v>
      </c>
      <c r="V92" s="140">
        <f t="shared" si="46"/>
        <v>12175</v>
      </c>
      <c r="X92" s="130"/>
      <c r="Y92" s="130"/>
      <c r="AB92" s="131"/>
      <c r="AC92" s="130"/>
    </row>
    <row r="93" spans="2:29" x14ac:dyDescent="0.25">
      <c r="B93" s="7" t="s">
        <v>80</v>
      </c>
      <c r="C93" s="252">
        <v>9158848</v>
      </c>
      <c r="D93" s="253"/>
      <c r="E93" s="254">
        <v>0</v>
      </c>
      <c r="F93" s="255"/>
      <c r="G93" s="255"/>
      <c r="H93" s="255"/>
      <c r="I93" s="255">
        <v>-9158848</v>
      </c>
      <c r="J93" s="255"/>
      <c r="K93" s="255"/>
      <c r="L93" s="254"/>
      <c r="M93" s="256"/>
      <c r="N93" s="269">
        <f t="shared" si="44"/>
        <v>0</v>
      </c>
      <c r="P93" s="141"/>
      <c r="Q93" s="138"/>
      <c r="R93" s="138"/>
      <c r="S93" s="142"/>
      <c r="T93" s="141"/>
      <c r="U93" s="137">
        <f t="shared" si="45"/>
        <v>0</v>
      </c>
      <c r="V93" s="140">
        <f t="shared" si="46"/>
        <v>0</v>
      </c>
      <c r="X93" s="130"/>
      <c r="Y93" s="130"/>
      <c r="AB93" s="131"/>
      <c r="AC93" s="130"/>
    </row>
    <row r="94" spans="2:29" x14ac:dyDescent="0.25">
      <c r="B94" s="7" t="s">
        <v>115</v>
      </c>
      <c r="C94" s="252">
        <v>21800000</v>
      </c>
      <c r="D94" s="253"/>
      <c r="E94" s="254">
        <v>0</v>
      </c>
      <c r="F94" s="255"/>
      <c r="G94" s="255"/>
      <c r="H94" s="255"/>
      <c r="I94" s="255">
        <v>0</v>
      </c>
      <c r="J94" s="255"/>
      <c r="K94" s="255"/>
      <c r="L94" s="254"/>
      <c r="M94" s="256"/>
      <c r="N94" s="269">
        <f t="shared" si="44"/>
        <v>21800000</v>
      </c>
      <c r="P94" s="141"/>
      <c r="Q94" s="138"/>
      <c r="R94" s="138"/>
      <c r="S94" s="142">
        <v>0</v>
      </c>
      <c r="T94" s="141"/>
      <c r="U94" s="137">
        <f t="shared" si="45"/>
        <v>0</v>
      </c>
      <c r="V94" s="140">
        <f t="shared" si="46"/>
        <v>21800000</v>
      </c>
      <c r="X94" s="130"/>
      <c r="Y94" s="130"/>
      <c r="AB94" s="131"/>
      <c r="AC94" s="130"/>
    </row>
    <row r="95" spans="2:29" x14ac:dyDescent="0.25">
      <c r="B95" s="12" t="s">
        <v>82</v>
      </c>
      <c r="C95" s="291">
        <f>SUM(C96:C98)</f>
        <v>840000000</v>
      </c>
      <c r="D95" s="292">
        <f t="shared" ref="D95:K95" si="47">SUM(D96:D98)</f>
        <v>0</v>
      </c>
      <c r="E95" s="293">
        <f t="shared" si="47"/>
        <v>0</v>
      </c>
      <c r="F95" s="294">
        <f t="shared" si="47"/>
        <v>700650000</v>
      </c>
      <c r="G95" s="294">
        <f t="shared" si="47"/>
        <v>-150000000</v>
      </c>
      <c r="H95" s="294">
        <f t="shared" si="47"/>
        <v>0</v>
      </c>
      <c r="I95" s="294">
        <f t="shared" si="47"/>
        <v>-56782018</v>
      </c>
      <c r="J95" s="294">
        <f t="shared" si="47"/>
        <v>0</v>
      </c>
      <c r="K95" s="294">
        <f t="shared" si="47"/>
        <v>0</v>
      </c>
      <c r="L95" s="293"/>
      <c r="M95" s="295"/>
      <c r="N95" s="280">
        <f>+SUM(N96:N99)</f>
        <v>1333867982</v>
      </c>
      <c r="P95" s="170">
        <f t="shared" ref="P95:T95" si="48">SUM(P96:P98)</f>
        <v>0</v>
      </c>
      <c r="Q95" s="192">
        <f t="shared" si="48"/>
        <v>204000000</v>
      </c>
      <c r="R95" s="192">
        <f t="shared" si="48"/>
        <v>284143901</v>
      </c>
      <c r="S95" s="193">
        <f t="shared" si="48"/>
        <v>845067398</v>
      </c>
      <c r="T95" s="170">
        <f t="shared" si="48"/>
        <v>0</v>
      </c>
      <c r="U95" s="170">
        <f>+SUM(U96:U99)</f>
        <v>1333211299</v>
      </c>
      <c r="V95" s="171">
        <f>+SUM(V96:V99)</f>
        <v>656683</v>
      </c>
      <c r="X95" s="130"/>
      <c r="Y95" s="130"/>
      <c r="AB95" s="131"/>
      <c r="AC95" s="130"/>
    </row>
    <row r="96" spans="2:29" x14ac:dyDescent="0.25">
      <c r="B96" s="7" t="s">
        <v>83</v>
      </c>
      <c r="C96" s="252">
        <v>570000000</v>
      </c>
      <c r="D96" s="270"/>
      <c r="E96" s="271"/>
      <c r="F96" s="272">
        <v>600000000</v>
      </c>
      <c r="G96" s="272"/>
      <c r="H96" s="272"/>
      <c r="I96" s="272">
        <v>-56782018</v>
      </c>
      <c r="J96" s="272"/>
      <c r="K96" s="272"/>
      <c r="L96" s="271"/>
      <c r="M96" s="281"/>
      <c r="N96" s="274">
        <f t="shared" ref="N96:N97" si="49">SUM(C96:M96)</f>
        <v>1113217982</v>
      </c>
      <c r="P96" s="161"/>
      <c r="Q96" s="162">
        <v>180000000</v>
      </c>
      <c r="R96" s="162">
        <v>195951027</v>
      </c>
      <c r="S96" s="142">
        <v>736717398</v>
      </c>
      <c r="T96" s="141"/>
      <c r="U96" s="137">
        <f>SUM(P96:T96)</f>
        <v>1112668425</v>
      </c>
      <c r="V96" s="140">
        <f>+N96-U96</f>
        <v>549557</v>
      </c>
      <c r="X96" s="130"/>
      <c r="Y96" s="130"/>
      <c r="AB96" s="131"/>
      <c r="AC96" s="130"/>
    </row>
    <row r="97" spans="2:29" x14ac:dyDescent="0.25">
      <c r="B97" s="7" t="s">
        <v>84</v>
      </c>
      <c r="C97" s="252">
        <v>150000000</v>
      </c>
      <c r="D97" s="270"/>
      <c r="E97" s="271"/>
      <c r="F97" s="272"/>
      <c r="G97" s="272">
        <v>-150000000</v>
      </c>
      <c r="H97" s="272"/>
      <c r="I97" s="272">
        <v>0</v>
      </c>
      <c r="J97" s="272"/>
      <c r="K97" s="272"/>
      <c r="L97" s="271"/>
      <c r="M97" s="281"/>
      <c r="N97" s="274">
        <f t="shared" si="49"/>
        <v>0</v>
      </c>
      <c r="P97" s="161"/>
      <c r="Q97" s="162">
        <v>0</v>
      </c>
      <c r="R97" s="162"/>
      <c r="S97" s="142"/>
      <c r="T97" s="141"/>
      <c r="U97" s="137">
        <f>SUM(P97:T97)</f>
        <v>0</v>
      </c>
      <c r="V97" s="140">
        <f>+N97-U97</f>
        <v>0</v>
      </c>
      <c r="X97" s="130"/>
      <c r="Y97" s="130"/>
      <c r="AB97" s="131"/>
      <c r="AC97" s="130"/>
    </row>
    <row r="98" spans="2:29" ht="16.5" thickBot="1" x14ac:dyDescent="0.3">
      <c r="B98" s="7" t="s">
        <v>85</v>
      </c>
      <c r="C98" s="252">
        <v>120000000</v>
      </c>
      <c r="D98" s="253"/>
      <c r="E98" s="254"/>
      <c r="F98" s="255">
        <v>100650000</v>
      </c>
      <c r="G98" s="255"/>
      <c r="H98" s="255"/>
      <c r="I98" s="255">
        <v>0</v>
      </c>
      <c r="J98" s="255"/>
      <c r="K98" s="255"/>
      <c r="L98" s="254"/>
      <c r="M98" s="256"/>
      <c r="N98" s="269">
        <f>SUM(C98:M98)</f>
        <v>220650000</v>
      </c>
      <c r="P98" s="141"/>
      <c r="Q98" s="138">
        <v>24000000</v>
      </c>
      <c r="R98" s="138">
        <v>88192874</v>
      </c>
      <c r="S98" s="142">
        <v>108350000</v>
      </c>
      <c r="T98" s="141"/>
      <c r="U98" s="137">
        <f t="shared" ref="U98" si="50">SUM(P98:T98)</f>
        <v>220542874</v>
      </c>
      <c r="V98" s="140">
        <f>+N98-U98</f>
        <v>107126</v>
      </c>
      <c r="X98" s="130"/>
      <c r="Y98" s="130"/>
      <c r="AB98" s="131"/>
      <c r="AC98" s="130"/>
    </row>
    <row r="99" spans="2:29" hidden="1" x14ac:dyDescent="0.25">
      <c r="B99" s="12" t="s">
        <v>46</v>
      </c>
      <c r="C99" s="291">
        <f>+C100</f>
        <v>0</v>
      </c>
      <c r="D99" s="292">
        <f t="shared" ref="D99:K99" si="51">+D100</f>
        <v>0</v>
      </c>
      <c r="E99" s="293">
        <f t="shared" si="51"/>
        <v>0</v>
      </c>
      <c r="F99" s="294">
        <f t="shared" si="51"/>
        <v>0</v>
      </c>
      <c r="G99" s="294">
        <f t="shared" si="51"/>
        <v>0</v>
      </c>
      <c r="H99" s="294">
        <f t="shared" si="51"/>
        <v>0</v>
      </c>
      <c r="I99" s="294">
        <f t="shared" si="51"/>
        <v>0</v>
      </c>
      <c r="J99" s="294">
        <f t="shared" si="51"/>
        <v>0</v>
      </c>
      <c r="K99" s="294">
        <f t="shared" si="51"/>
        <v>0</v>
      </c>
      <c r="L99" s="293"/>
      <c r="M99" s="295"/>
      <c r="N99" s="280">
        <v>0</v>
      </c>
      <c r="P99" s="170">
        <f t="shared" ref="P99:T99" si="52">+P100</f>
        <v>0</v>
      </c>
      <c r="Q99" s="192">
        <f t="shared" si="52"/>
        <v>0</v>
      </c>
      <c r="R99" s="192">
        <f t="shared" si="52"/>
        <v>0</v>
      </c>
      <c r="S99" s="193">
        <f t="shared" si="52"/>
        <v>0</v>
      </c>
      <c r="T99" s="170">
        <f t="shared" si="52"/>
        <v>0</v>
      </c>
      <c r="U99" s="170">
        <v>0</v>
      </c>
      <c r="V99" s="171">
        <v>0</v>
      </c>
      <c r="X99" s="130"/>
      <c r="Y99" s="130"/>
      <c r="AB99" s="131"/>
      <c r="AC99" s="130"/>
    </row>
    <row r="100" spans="2:29" hidden="1" x14ac:dyDescent="0.25">
      <c r="B100" s="7"/>
      <c r="C100" s="252"/>
      <c r="D100" s="253"/>
      <c r="E100" s="254"/>
      <c r="F100" s="255"/>
      <c r="G100" s="255"/>
      <c r="H100" s="255"/>
      <c r="I100" s="255"/>
      <c r="J100" s="255"/>
      <c r="K100" s="255"/>
      <c r="L100" s="254"/>
      <c r="M100" s="256"/>
      <c r="N100" s="269"/>
      <c r="P100" s="141">
        <v>0</v>
      </c>
      <c r="Q100" s="138">
        <v>0</v>
      </c>
      <c r="R100" s="138">
        <v>0</v>
      </c>
      <c r="S100" s="142">
        <v>0</v>
      </c>
      <c r="T100" s="141"/>
      <c r="U100" s="137"/>
      <c r="V100" s="140"/>
      <c r="X100" s="130"/>
      <c r="Y100" s="130"/>
      <c r="AB100" s="131"/>
      <c r="AC100" s="130"/>
    </row>
    <row r="101" spans="2:29" ht="16.5" hidden="1" thickBot="1" x14ac:dyDescent="0.3">
      <c r="B101" s="9"/>
      <c r="C101" s="311"/>
      <c r="D101" s="275"/>
      <c r="E101" s="276"/>
      <c r="F101" s="277"/>
      <c r="G101" s="277"/>
      <c r="H101" s="277"/>
      <c r="I101" s="277"/>
      <c r="J101" s="277"/>
      <c r="K101" s="277"/>
      <c r="L101" s="276"/>
      <c r="M101" s="278"/>
      <c r="N101" s="279"/>
      <c r="P101" s="168">
        <v>0</v>
      </c>
      <c r="Q101" s="169">
        <v>0</v>
      </c>
      <c r="R101" s="169">
        <v>0</v>
      </c>
      <c r="S101" s="215">
        <v>0</v>
      </c>
      <c r="T101" s="168"/>
      <c r="U101" s="137"/>
      <c r="V101" s="140"/>
      <c r="Y101" s="130"/>
      <c r="AC101" s="130"/>
    </row>
    <row r="102" spans="2:29" x14ac:dyDescent="0.25">
      <c r="B102" s="86" t="s">
        <v>88</v>
      </c>
      <c r="C102" s="312">
        <f t="shared" ref="C102:N102" si="53">+C50+C19+C48</f>
        <v>4674542781.8999996</v>
      </c>
      <c r="D102" s="313">
        <f t="shared" si="53"/>
        <v>0</v>
      </c>
      <c r="E102" s="314">
        <f>+E50+E19+E48</f>
        <v>49654478.983999997</v>
      </c>
      <c r="F102" s="315">
        <f t="shared" ref="F102:K102" si="54">+F50+F19+F48</f>
        <v>710352500</v>
      </c>
      <c r="G102" s="315">
        <f t="shared" si="54"/>
        <v>-150000000</v>
      </c>
      <c r="H102" s="315">
        <f t="shared" si="54"/>
        <v>46172000</v>
      </c>
      <c r="I102" s="315">
        <f t="shared" si="54"/>
        <v>-772904529</v>
      </c>
      <c r="J102" s="315">
        <f t="shared" si="54"/>
        <v>8925957.9000000004</v>
      </c>
      <c r="K102" s="315">
        <f t="shared" si="54"/>
        <v>2451000</v>
      </c>
      <c r="L102" s="314"/>
      <c r="M102" s="316"/>
      <c r="N102" s="317">
        <f t="shared" si="53"/>
        <v>4569194189.7840004</v>
      </c>
      <c r="P102" s="221">
        <f t="shared" ref="P102:V102" si="55">+P50+P19+P48</f>
        <v>843667850</v>
      </c>
      <c r="Q102" s="222">
        <f t="shared" si="55"/>
        <v>897586783.70000005</v>
      </c>
      <c r="R102" s="222">
        <f t="shared" si="55"/>
        <v>955468017.5</v>
      </c>
      <c r="S102" s="221">
        <f t="shared" si="55"/>
        <v>1534275972.5</v>
      </c>
      <c r="T102" s="223">
        <f t="shared" si="55"/>
        <v>1.1000000000000001</v>
      </c>
      <c r="U102" s="221">
        <f>+U50+U19+U48</f>
        <v>4230998624.8000002</v>
      </c>
      <c r="V102" s="223">
        <f t="shared" si="55"/>
        <v>338195564.98400003</v>
      </c>
      <c r="Y102" s="130"/>
      <c r="AB102" s="131"/>
      <c r="AC102" s="130"/>
    </row>
    <row r="103" spans="2:29" x14ac:dyDescent="0.25">
      <c r="B103" s="13" t="s">
        <v>47</v>
      </c>
      <c r="C103" s="291">
        <f t="shared" ref="C103:N103" si="56">+C17-C102</f>
        <v>6073674351.152338</v>
      </c>
      <c r="D103" s="292">
        <f t="shared" si="56"/>
        <v>814112424</v>
      </c>
      <c r="E103" s="293">
        <f t="shared" si="56"/>
        <v>-49654478.983999997</v>
      </c>
      <c r="F103" s="294">
        <f t="shared" si="56"/>
        <v>-520352500</v>
      </c>
      <c r="G103" s="294">
        <f t="shared" si="56"/>
        <v>150000000</v>
      </c>
      <c r="H103" s="294">
        <f t="shared" si="56"/>
        <v>-46172000</v>
      </c>
      <c r="I103" s="294">
        <f t="shared" si="56"/>
        <v>772904529</v>
      </c>
      <c r="J103" s="294">
        <f t="shared" si="56"/>
        <v>148333621.09999999</v>
      </c>
      <c r="K103" s="294">
        <f t="shared" si="56"/>
        <v>42882000</v>
      </c>
      <c r="L103" s="293"/>
      <c r="M103" s="295"/>
      <c r="N103" s="280">
        <f t="shared" si="56"/>
        <v>7385727946.2683372</v>
      </c>
      <c r="P103" s="170">
        <f t="shared" ref="P103:V103" si="57">+P17-P102</f>
        <v>690578519</v>
      </c>
      <c r="Q103" s="192">
        <f t="shared" si="57"/>
        <v>385051375.29999995</v>
      </c>
      <c r="R103" s="192">
        <f t="shared" si="57"/>
        <v>355448699.5</v>
      </c>
      <c r="S103" s="170">
        <f t="shared" si="57"/>
        <v>-0.25</v>
      </c>
      <c r="T103" s="171">
        <f t="shared" si="57"/>
        <v>5656257276.6999998</v>
      </c>
      <c r="U103" s="170">
        <f t="shared" si="57"/>
        <v>7087335870.249999</v>
      </c>
      <c r="V103" s="171">
        <f t="shared" si="57"/>
        <v>298392076.01833743</v>
      </c>
      <c r="X103" s="130"/>
      <c r="Y103" s="130"/>
      <c r="AB103" s="131"/>
      <c r="AC103" s="130"/>
    </row>
    <row r="104" spans="2:29" ht="16.5" thickBot="1" x14ac:dyDescent="0.3">
      <c r="B104" s="14" t="s">
        <v>48</v>
      </c>
      <c r="C104" s="318">
        <f>SUM(C102:C103)</f>
        <v>10748217133.052338</v>
      </c>
      <c r="D104" s="319">
        <f t="shared" ref="D104:K104" si="58">SUM(D102:D103)</f>
        <v>814112424</v>
      </c>
      <c r="E104" s="320">
        <f t="shared" si="58"/>
        <v>0</v>
      </c>
      <c r="F104" s="321">
        <f t="shared" si="58"/>
        <v>190000000</v>
      </c>
      <c r="G104" s="321">
        <f t="shared" si="58"/>
        <v>0</v>
      </c>
      <c r="H104" s="321">
        <f t="shared" si="58"/>
        <v>0</v>
      </c>
      <c r="I104" s="321">
        <f t="shared" si="58"/>
        <v>0</v>
      </c>
      <c r="J104" s="321">
        <f t="shared" si="58"/>
        <v>157259579</v>
      </c>
      <c r="K104" s="321">
        <f t="shared" si="58"/>
        <v>45333000</v>
      </c>
      <c r="L104" s="320"/>
      <c r="M104" s="322"/>
      <c r="N104" s="323">
        <f>SUM(N102:N103)</f>
        <v>11954922136.052338</v>
      </c>
      <c r="P104" s="229">
        <f t="shared" ref="P104:T104" si="59">SUM(P102:P103)</f>
        <v>1534246369</v>
      </c>
      <c r="Q104" s="230">
        <f t="shared" si="59"/>
        <v>1282638159</v>
      </c>
      <c r="R104" s="230">
        <f t="shared" si="59"/>
        <v>1310916717</v>
      </c>
      <c r="S104" s="229">
        <f t="shared" si="59"/>
        <v>1534275972.25</v>
      </c>
      <c r="T104" s="231">
        <f t="shared" si="59"/>
        <v>5656257277.8000002</v>
      </c>
      <c r="U104" s="229">
        <f>SUM(U102:U103)</f>
        <v>11318334495.049999</v>
      </c>
      <c r="V104" s="231">
        <f>SUM(V102:V103)</f>
        <v>636587641.00233746</v>
      </c>
      <c r="X104" s="130"/>
      <c r="Y104" s="130"/>
      <c r="AB104" s="131"/>
      <c r="AC104" s="130"/>
    </row>
    <row r="105" spans="2:29" x14ac:dyDescent="0.25">
      <c r="X105" s="130"/>
      <c r="AC105" s="130"/>
    </row>
    <row r="106" spans="2:29" x14ac:dyDescent="0.25">
      <c r="X106" s="130"/>
      <c r="AC106" s="130"/>
    </row>
    <row r="108" spans="2:29" x14ac:dyDescent="0.25">
      <c r="T108" s="105" t="s">
        <v>116</v>
      </c>
      <c r="U108" s="105">
        <f>+'[4]ESTADO DE RESULTADOS FNFP ( (4'!$C$15</f>
        <v>4229223421</v>
      </c>
    </row>
    <row r="109" spans="2:29" x14ac:dyDescent="0.25">
      <c r="T109" s="105" t="s">
        <v>117</v>
      </c>
      <c r="U109" s="105">
        <f>(+'[4]BAL F.08 12 2020 (2)'!$P$157+'[4]BAL F.08 12 2020 (2)'!$P$158+'[4]BAL F.08 12 2020 (2)'!$P$159+'[4]BAL F.08 12 2020 (2)'!$P$160)*-1</f>
        <v>-74355903</v>
      </c>
    </row>
    <row r="110" spans="2:29" x14ac:dyDescent="0.25">
      <c r="T110" s="105" t="s">
        <v>118</v>
      </c>
      <c r="U110" s="105">
        <f>+'[5]AÑO 2020 '!$Q$29</f>
        <v>76131106</v>
      </c>
    </row>
    <row r="111" spans="2:29" x14ac:dyDescent="0.25">
      <c r="U111" s="105">
        <f>SUM(U108:U110)</f>
        <v>4230998624</v>
      </c>
    </row>
    <row r="112" spans="2:29" x14ac:dyDescent="0.25">
      <c r="T112" s="105" t="s">
        <v>119</v>
      </c>
      <c r="U112" s="105">
        <f>+U102</f>
        <v>4230998624.8000002</v>
      </c>
    </row>
    <row r="113" spans="21:21" x14ac:dyDescent="0.25">
      <c r="U113" s="105">
        <f>+U111-U112</f>
        <v>-0.80000019073486328</v>
      </c>
    </row>
  </sheetData>
  <autoFilter ref="B7:V104"/>
  <mergeCells count="6">
    <mergeCell ref="B7:B8"/>
    <mergeCell ref="B2:N2"/>
    <mergeCell ref="B3:N3"/>
    <mergeCell ref="B4:N4"/>
    <mergeCell ref="B5:N5"/>
    <mergeCell ref="B6:N6"/>
  </mergeCells>
  <printOptions gridLines="1"/>
  <pageMargins left="0.19685039370078741" right="0.19685039370078741" top="0.39370078740157483" bottom="0.39370078740157483" header="0.51181102362204722" footer="0.51181102362204722"/>
  <pageSetup scale="50" fitToHeight="2" orientation="landscape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TRASLADO INT 04-2020</vt:lpstr>
      <vt:lpstr>CIERRE 4TO TRIM</vt:lpstr>
      <vt:lpstr>AJUSTE VIGENCIA 2020</vt:lpstr>
      <vt:lpstr>VIGENCIA 2020</vt:lpstr>
      <vt:lpstr>TRASLADO INT 05-2020</vt:lpstr>
      <vt:lpstr>'AJUSTE VIGENCIA 2020'!Área_de_impresión</vt:lpstr>
      <vt:lpstr>'TRASLADO INT 05-2020'!Área_de_impresión</vt:lpstr>
      <vt:lpstr>'VIGENCIA 2020'!Área_de_impresión</vt:lpstr>
      <vt:lpstr>'AJUSTE VIGENCIA 2020'!Títulos_a_imprimir</vt:lpstr>
      <vt:lpstr>'TRASLADO INT 05-2020'!Títulos_a_imprimir</vt:lpstr>
      <vt:lpstr>'VIGENCIA 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cp:lastPrinted>2021-10-07T22:35:40Z</cp:lastPrinted>
  <dcterms:created xsi:type="dcterms:W3CDTF">2016-12-02T13:31:49Z</dcterms:created>
  <dcterms:modified xsi:type="dcterms:W3CDTF">2021-11-23T16:42:03Z</dcterms:modified>
</cp:coreProperties>
</file>