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mc:AlternateContent xmlns:mc="http://schemas.openxmlformats.org/markup-compatibility/2006">
    <mc:Choice Requires="x15">
      <x15ac:absPath xmlns:x15ac="http://schemas.microsoft.com/office/spreadsheetml/2010/11/ac" url="C:\Users\CONTROL PRESUPUESTAL\Desktop\COORDINACIÓN PRESUPUESTO Y GESTIÓN CALIDAD\LEY DE TRANSPARENCIA PAGINA WEB\ANEXOS MATRIZ DE CUMPLIMIENTO\6. PLANEACION\2. PLAN DE GASTO PUBLICO\"/>
    </mc:Choice>
  </mc:AlternateContent>
  <xr:revisionPtr revIDLastSave="0" documentId="13_ncr:1_{821FEA2A-A37C-497D-BACF-19D6011E21F4}" xr6:coauthVersionLast="43" xr6:coauthVersionMax="43" xr10:uidLastSave="{00000000-0000-0000-0000-000000000000}"/>
  <bookViews>
    <workbookView xWindow="-120" yWindow="-120" windowWidth="29040" windowHeight="15840" tabRatio="739" firstSheet="18" activeTab="18" xr2:uid="{00000000-000D-0000-FFFF-FFFF00000000}"/>
  </bookViews>
  <sheets>
    <sheet name="APROP 2019" sheetId="18" state="hidden" r:id="rId1"/>
    <sheet name="CONSOLIDADO ANEXO 2 " sheetId="33" state="hidden" r:id="rId2"/>
    <sheet name="INGRESOS Pendiente x cierre año" sheetId="27" state="hidden" r:id="rId3"/>
    <sheet name="PROYECCIÓN 2018" sheetId="58" state="hidden" r:id="rId4"/>
    <sheet name="INGRESOS RECAUDO 2019" sheetId="70" state="hidden" r:id="rId5"/>
    <sheet name="INGRESOS SUPUESTOS Recaudo " sheetId="57" state="hidden" r:id="rId6"/>
    <sheet name="INGRESOS intereses finan " sheetId="13" state="hidden" r:id="rId7"/>
    <sheet name="INGRESOS Intereses Mora" sheetId="59" state="hidden" r:id="rId8"/>
    <sheet name="Supuestos Gastos " sheetId="1" state="hidden" r:id="rId9"/>
    <sheet name="Nomina 2019 PLANTA" sheetId="21" state="hidden" r:id="rId10"/>
    <sheet name="PRESTACION DE SERVICIOS" sheetId="65" state="hidden" r:id="rId11"/>
    <sheet name="FUNCIONAMIENTO " sheetId="30" state="hidden" r:id="rId12"/>
    <sheet name="RECAUDO " sheetId="60" state="hidden" r:id="rId13"/>
    <sheet name="SISTEMAS DE INF " sheetId="61" state="hidden" r:id="rId14"/>
    <sheet name="ITPA" sheetId="64" state="hidden" r:id="rId15"/>
    <sheet name="PROTOTIPO" sheetId="66" state="hidden" r:id="rId16"/>
    <sheet name="PROMOCION AL CONSUMO" sheetId="63" state="hidden" r:id="rId17"/>
    <sheet name="AGROEXPO" sheetId="62" state="hidden" r:id="rId18"/>
    <sheet name="PLAN DE COMPRAS" sheetId="71" r:id="rId19"/>
    <sheet name="ASOCIATIVIDAD" sheetId="50" state="hidden" r:id="rId20"/>
    <sheet name="Hoja1" sheetId="28" state="hidden" r:id="rId21"/>
  </sheets>
  <externalReferences>
    <externalReference r:id="rId22"/>
    <externalReference r:id="rId23"/>
    <externalReference r:id="rId24"/>
  </externalReferences>
  <definedNames>
    <definedName name="_xlnm._FilterDatabase" localSheetId="0" hidden="1">'APROP 2019'!$B$7:$H$97</definedName>
    <definedName name="_xlnm._FilterDatabase" localSheetId="19" hidden="1">ASOCIATIVIDAD!$A$4:$H$16</definedName>
    <definedName name="_xlnm._FilterDatabase" localSheetId="11" hidden="1">'FUNCIONAMIENTO '!$A$4:$M$43</definedName>
    <definedName name="_xlnm._FilterDatabase" localSheetId="14" hidden="1">ITPA!$A$4:$I$52</definedName>
    <definedName name="_xlnm._FilterDatabase" localSheetId="9" hidden="1">'Nomina 2019 PLANTA'!$A$1:$V$55</definedName>
    <definedName name="_xlnm._FilterDatabase" localSheetId="18" hidden="1">'PLAN DE COMPRAS'!$A$4:$I$53</definedName>
    <definedName name="_xlnm._FilterDatabase" localSheetId="10" hidden="1">'PRESTACION DE SERVICIOS'!$D$4:$N$6</definedName>
    <definedName name="_xlnm._FilterDatabase" localSheetId="16" hidden="1">'PROMOCION AL CONSUMO'!$A$4:$H$26</definedName>
    <definedName name="_xlnm._FilterDatabase" localSheetId="12" hidden="1">'RECAUDO '!$A$4:$J$62</definedName>
    <definedName name="_xlnm._FilterDatabase" localSheetId="13" hidden="1">'SISTEMAS DE INF '!$A$4:$M$32</definedName>
    <definedName name="_xlnm.Print_Area" localSheetId="0">'APROP 2019'!$B$2:$F$96</definedName>
    <definedName name="_xlnm.Print_Area" localSheetId="19">ASOCIATIVIDAD!$A$1:$H$16</definedName>
    <definedName name="_xlnm.Print_Area" localSheetId="6">'INGRESOS intereses finan '!#REF!</definedName>
    <definedName name="_xlnm.Print_Area" localSheetId="7">'INGRESOS Intereses Mora'!$A$1:$E$27</definedName>
    <definedName name="_xlnm.Print_Area" localSheetId="3">'PROYECCIÓN 2018'!$A$1:$G$74</definedName>
    <definedName name="data" localSheetId="7">#REF!</definedName>
    <definedName name="data" localSheetId="10">#REF!</definedName>
    <definedName name="data" localSheetId="3">#REF!</definedName>
    <definedName name="data">#REF!</definedName>
    <definedName name="FECFIN" localSheetId="17">#REF!</definedName>
    <definedName name="FECFIN" localSheetId="14">#REF!</definedName>
    <definedName name="FECFIN" localSheetId="18">#REF!</definedName>
    <definedName name="FECFIN" localSheetId="10">#REF!</definedName>
    <definedName name="FECFIN" localSheetId="16">#REF!</definedName>
    <definedName name="FECFIN" localSheetId="12">#REF!</definedName>
    <definedName name="FECFIN" localSheetId="13">#REF!</definedName>
    <definedName name="FECFIN">#REF!</definedName>
    <definedName name="FECHAF" localSheetId="17">#REF!</definedName>
    <definedName name="FECHAF" localSheetId="14">#REF!</definedName>
    <definedName name="FECHAF" localSheetId="18">#REF!</definedName>
    <definedName name="FECHAF" localSheetId="10">#REF!</definedName>
    <definedName name="FECHAF" localSheetId="16">#REF!</definedName>
    <definedName name="FECHAF" localSheetId="12">#REF!</definedName>
    <definedName name="FECHAF" localSheetId="13">#REF!</definedName>
    <definedName name="FECHAF">#REF!</definedName>
    <definedName name="FECHAFIN">'[1]RECAUDO OK'!$M$59</definedName>
    <definedName name="FECHAI" localSheetId="17">#REF!</definedName>
    <definedName name="FECHAI" localSheetId="14">#REF!</definedName>
    <definedName name="FECHAI" localSheetId="18">#REF!</definedName>
    <definedName name="FECHAI" localSheetId="10">#REF!</definedName>
    <definedName name="FECHAI" localSheetId="16">#REF!</definedName>
    <definedName name="FECHAI" localSheetId="12">#REF!</definedName>
    <definedName name="FECHAI" localSheetId="13">#REF!</definedName>
    <definedName name="FECHAI">#REF!</definedName>
    <definedName name="FECHAINI">'[1]RECAUDO OK'!$M$58</definedName>
    <definedName name="FECINI" localSheetId="17">#REF!</definedName>
    <definedName name="FECINI" localSheetId="14">#REF!</definedName>
    <definedName name="FECINI" localSheetId="18">#REF!</definedName>
    <definedName name="FECINI" localSheetId="10">#REF!</definedName>
    <definedName name="FECINI" localSheetId="16">#REF!</definedName>
    <definedName name="FECINI" localSheetId="12">#REF!</definedName>
    <definedName name="FECINI" localSheetId="13">#REF!</definedName>
    <definedName name="FECINI">#REF!</definedName>
    <definedName name="FECINIC" localSheetId="17">#REF!</definedName>
    <definedName name="FECINIC" localSheetId="14">#REF!</definedName>
    <definedName name="FECINIC" localSheetId="18">#REF!</definedName>
    <definedName name="FECINIC" localSheetId="10">#REF!</definedName>
    <definedName name="FECINIC" localSheetId="16">#REF!</definedName>
    <definedName name="FECINIC" localSheetId="12">#REF!</definedName>
    <definedName name="FECINIC" localSheetId="13">#REF!</definedName>
    <definedName name="FECINIC">#REF!</definedName>
    <definedName name="FEFIN" localSheetId="17">'[1]RECAUDO OK'!#REF!</definedName>
    <definedName name="FEFIN" localSheetId="14">'[1]RECAUDO OK'!#REF!</definedName>
    <definedName name="FEFIN" localSheetId="18">'[1]RECAUDO OK'!#REF!</definedName>
    <definedName name="FEFIN" localSheetId="10">'[1]RECAUDO OK'!#REF!</definedName>
    <definedName name="FEFIN" localSheetId="16">'[1]RECAUDO OK'!#REF!</definedName>
    <definedName name="FEFIN" localSheetId="12">'[1]RECAUDO OK'!#REF!</definedName>
    <definedName name="FEFIN" localSheetId="13">'[1]RECAUDO OK'!#REF!</definedName>
    <definedName name="FEFIN">'[1]RECAUDO OK'!#REF!</definedName>
    <definedName name="_xlnm.Print_Titles" localSheetId="0">'APROP 2019'!$2:$5</definedName>
    <definedName name="Z_B4F84E58_6105_4108_BE7B_DA4F3BADB9B7_.wvu.Cols" localSheetId="0" hidden="1">'APROP 2019'!#REF!,'APROP 2019'!#REF!</definedName>
    <definedName name="Z_B4F84E58_6105_4108_BE7B_DA4F3BADB9B7_.wvu.PrintArea" localSheetId="0" hidden="1">'APROP 2019'!$B$3:$F$96</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2" i="71" l="1"/>
  <c r="H14" i="71"/>
  <c r="H5" i="71"/>
  <c r="H51" i="71" l="1"/>
  <c r="H50" i="71"/>
  <c r="H52" i="71"/>
  <c r="H39" i="71"/>
  <c r="H40" i="71"/>
  <c r="H41" i="71"/>
  <c r="H43" i="71"/>
  <c r="H44" i="71"/>
  <c r="H45" i="71"/>
  <c r="H46" i="71"/>
  <c r="H47" i="71"/>
  <c r="H48" i="71"/>
  <c r="H49" i="71"/>
  <c r="H35" i="71"/>
  <c r="H36" i="71"/>
  <c r="H37" i="71"/>
  <c r="H38" i="71"/>
  <c r="H17" i="71"/>
  <c r="H18" i="71"/>
  <c r="H19" i="71"/>
  <c r="H20" i="71"/>
  <c r="H21" i="71"/>
  <c r="H22" i="71"/>
  <c r="H23" i="71"/>
  <c r="H24" i="71"/>
  <c r="H25" i="71"/>
  <c r="H26" i="71"/>
  <c r="H27" i="71"/>
  <c r="H28" i="71"/>
  <c r="H29" i="71"/>
  <c r="H30" i="71"/>
  <c r="H31" i="71"/>
  <c r="H32" i="71"/>
  <c r="H33" i="71"/>
  <c r="H34" i="71"/>
  <c r="H16" i="71"/>
  <c r="H15" i="71"/>
  <c r="H13" i="71"/>
  <c r="H12" i="71"/>
  <c r="H11" i="71"/>
  <c r="H7" i="71"/>
  <c r="H8" i="71"/>
  <c r="H9" i="71"/>
  <c r="H10" i="71"/>
  <c r="H6" i="71"/>
  <c r="H53" i="71" l="1"/>
  <c r="I19" i="60"/>
  <c r="I9" i="70" l="1"/>
  <c r="C23" i="59" l="1"/>
  <c r="C46" i="30" s="1"/>
  <c r="C10" i="27"/>
  <c r="C11" i="18"/>
  <c r="E10" i="27" l="1"/>
  <c r="E39" i="30"/>
  <c r="E38" i="30"/>
  <c r="F39" i="30"/>
  <c r="G39" i="30" l="1"/>
  <c r="E42" i="30" l="1"/>
  <c r="G42" i="30" s="1"/>
  <c r="E18" i="30"/>
  <c r="E32" i="64"/>
  <c r="E23" i="60"/>
  <c r="E34" i="30" l="1"/>
  <c r="E42" i="64"/>
  <c r="E27" i="64"/>
  <c r="E23" i="64"/>
  <c r="E10" i="64"/>
  <c r="F17" i="62" l="1"/>
  <c r="F15" i="62"/>
  <c r="F14" i="62"/>
  <c r="F13" i="62"/>
  <c r="F12" i="62" l="1"/>
  <c r="F11" i="62"/>
  <c r="F10" i="62"/>
  <c r="F9" i="62"/>
  <c r="F6" i="62"/>
  <c r="F21" i="63" l="1"/>
  <c r="E24" i="63" l="1"/>
  <c r="E18" i="63"/>
  <c r="E14" i="63" l="1"/>
  <c r="G67" i="18" l="1"/>
  <c r="G75" i="18"/>
  <c r="F6" i="63"/>
  <c r="F8" i="64"/>
  <c r="F6" i="61"/>
  <c r="F38" i="30"/>
  <c r="G38" i="30" s="1"/>
  <c r="F6" i="30"/>
  <c r="E18" i="61" l="1"/>
  <c r="F86" i="18" l="1"/>
  <c r="F85" i="18"/>
  <c r="F79" i="18"/>
  <c r="F78" i="18"/>
  <c r="F76" i="18"/>
  <c r="F65" i="18"/>
  <c r="G49" i="18" l="1"/>
  <c r="F7" i="61"/>
  <c r="H9" i="65" l="1"/>
  <c r="H10" i="65"/>
  <c r="F27" i="61" l="1"/>
  <c r="E30" i="61"/>
  <c r="F30" i="61"/>
  <c r="F37" i="33" l="1"/>
  <c r="F38" i="33"/>
  <c r="C32" i="33"/>
  <c r="F8" i="65"/>
  <c r="H8" i="65" s="1"/>
  <c r="E7" i="65"/>
  <c r="H7" i="65" s="1"/>
  <c r="E6" i="65"/>
  <c r="H6" i="65" s="1"/>
  <c r="H5" i="65"/>
  <c r="E57" i="60"/>
  <c r="H11" i="65" l="1"/>
  <c r="B39" i="60"/>
  <c r="E21" i="60"/>
  <c r="B10" i="30" l="1"/>
  <c r="B40" i="30"/>
  <c r="D14" i="33" l="1"/>
  <c r="F49" i="21"/>
  <c r="G20" i="64"/>
  <c r="G19" i="64"/>
  <c r="G18" i="64"/>
  <c r="F17" i="64"/>
  <c r="F16" i="64" s="1"/>
  <c r="E17" i="64"/>
  <c r="E16" i="64" s="1"/>
  <c r="E51" i="60"/>
  <c r="G51" i="60" s="1"/>
  <c r="E50" i="60"/>
  <c r="E49" i="60"/>
  <c r="G49" i="60" s="1"/>
  <c r="E48" i="60"/>
  <c r="G48" i="60" s="1"/>
  <c r="E47" i="60"/>
  <c r="F46" i="60"/>
  <c r="F45" i="60" s="1"/>
  <c r="E51" i="64"/>
  <c r="C84" i="18" s="1"/>
  <c r="F84" i="18" s="1"/>
  <c r="E50" i="64"/>
  <c r="C83" i="18" s="1"/>
  <c r="F83" i="18" s="1"/>
  <c r="E31" i="64"/>
  <c r="B8" i="60"/>
  <c r="B13" i="64"/>
  <c r="E46" i="60" l="1"/>
  <c r="E45" i="60" s="1"/>
  <c r="G17" i="64"/>
  <c r="G47" i="60"/>
  <c r="E14" i="61"/>
  <c r="E15" i="61"/>
  <c r="E58" i="60"/>
  <c r="B37" i="60"/>
  <c r="B34" i="60"/>
  <c r="E16" i="60"/>
  <c r="E17" i="60"/>
  <c r="E14" i="30"/>
  <c r="F27" i="30"/>
  <c r="B26" i="30"/>
  <c r="B25" i="30"/>
  <c r="B24" i="30"/>
  <c r="E35" i="30"/>
  <c r="E33" i="30"/>
  <c r="G46" i="60" l="1"/>
  <c r="F13" i="1"/>
  <c r="X25" i="21"/>
  <c r="Y25" i="21" s="1"/>
  <c r="D25" i="21"/>
  <c r="M25" i="21" s="1"/>
  <c r="X23" i="21"/>
  <c r="D23" i="21"/>
  <c r="X22" i="21"/>
  <c r="H22" i="21"/>
  <c r="D22" i="21"/>
  <c r="Y22" i="21" l="1"/>
  <c r="I25" i="21"/>
  <c r="H25" i="21"/>
  <c r="M22" i="21"/>
  <c r="M23" i="21"/>
  <c r="H23" i="21"/>
  <c r="Y23" i="21" s="1"/>
  <c r="K22" i="21"/>
  <c r="I23" i="21"/>
  <c r="J22" i="21"/>
  <c r="L22" i="21" s="1"/>
  <c r="I22" i="21"/>
  <c r="T11" i="21"/>
  <c r="K25" i="21" l="1"/>
  <c r="J25" i="21"/>
  <c r="L25" i="21" s="1"/>
  <c r="P25" i="21"/>
  <c r="S25" i="21"/>
  <c r="O25" i="21"/>
  <c r="Q25" i="21"/>
  <c r="R25" i="21"/>
  <c r="N25" i="21"/>
  <c r="K23" i="21"/>
  <c r="J23" i="21"/>
  <c r="L23" i="21" s="1"/>
  <c r="S23" i="21"/>
  <c r="O23" i="21"/>
  <c r="R23" i="21"/>
  <c r="N23" i="21"/>
  <c r="Q23" i="21"/>
  <c r="P23" i="21"/>
  <c r="Q22" i="21"/>
  <c r="P22" i="21"/>
  <c r="R22" i="21"/>
  <c r="N22" i="21"/>
  <c r="S22" i="21"/>
  <c r="O22" i="21"/>
  <c r="E38" i="60"/>
  <c r="G38" i="60" s="1"/>
  <c r="G60" i="60"/>
  <c r="A36" i="33"/>
  <c r="B33" i="33"/>
  <c r="F33" i="33" s="1"/>
  <c r="E14" i="33"/>
  <c r="H78" i="18"/>
  <c r="C74" i="18"/>
  <c r="F74" i="18" s="1"/>
  <c r="E49" i="18"/>
  <c r="D49" i="18"/>
  <c r="G33" i="18"/>
  <c r="G21" i="18"/>
  <c r="F43" i="18"/>
  <c r="H43" i="18" s="1"/>
  <c r="F44" i="18"/>
  <c r="H44" i="18" s="1"/>
  <c r="H65" i="18" l="1"/>
  <c r="H74" i="18"/>
  <c r="T25" i="21"/>
  <c r="T23" i="21"/>
  <c r="V23" i="21" s="1"/>
  <c r="T22" i="21"/>
  <c r="V22" i="21" s="1"/>
  <c r="H76" i="18"/>
  <c r="G51" i="18"/>
  <c r="D41" i="13" l="1"/>
  <c r="E19" i="13"/>
  <c r="E18" i="13"/>
  <c r="E17" i="13"/>
  <c r="E16" i="13"/>
  <c r="E15" i="13"/>
  <c r="E14" i="13"/>
  <c r="E13" i="13"/>
  <c r="E12" i="13"/>
  <c r="E11" i="13"/>
  <c r="E10" i="13"/>
  <c r="E9" i="13"/>
  <c r="E8" i="13"/>
  <c r="E46" i="64" l="1"/>
  <c r="E40" i="64"/>
  <c r="D26" i="33" s="1"/>
  <c r="D32" i="33" l="1"/>
  <c r="E39" i="64"/>
  <c r="G38" i="64"/>
  <c r="E36" i="64"/>
  <c r="E33" i="64"/>
  <c r="E26" i="64"/>
  <c r="D31" i="33" l="1"/>
  <c r="G51" i="64"/>
  <c r="G50" i="64"/>
  <c r="E49" i="64"/>
  <c r="F48" i="64"/>
  <c r="F47" i="64" s="1"/>
  <c r="G45" i="64"/>
  <c r="F44" i="64"/>
  <c r="E44" i="64"/>
  <c r="E43" i="64"/>
  <c r="G43" i="64" s="1"/>
  <c r="G42" i="64"/>
  <c r="F41" i="64"/>
  <c r="G40" i="64"/>
  <c r="E37" i="64"/>
  <c r="G37" i="64" s="1"/>
  <c r="G36" i="64"/>
  <c r="F35" i="64"/>
  <c r="F34" i="64" s="1"/>
  <c r="E30" i="64"/>
  <c r="E28" i="64" s="1"/>
  <c r="F28" i="64"/>
  <c r="G26" i="64"/>
  <c r="E25" i="64"/>
  <c r="F24" i="64"/>
  <c r="F22" i="64"/>
  <c r="G13" i="64"/>
  <c r="G12" i="64"/>
  <c r="F5" i="64"/>
  <c r="F21" i="64" l="1"/>
  <c r="E41" i="64"/>
  <c r="G41" i="64" s="1"/>
  <c r="E35" i="64"/>
  <c r="G35" i="64" s="1"/>
  <c r="G49" i="64"/>
  <c r="C82" i="18"/>
  <c r="G25" i="64"/>
  <c r="E24" i="64"/>
  <c r="G23" i="64"/>
  <c r="E22" i="64"/>
  <c r="G22" i="64" s="1"/>
  <c r="D30" i="33"/>
  <c r="E48" i="64"/>
  <c r="G48" i="64" s="1"/>
  <c r="F15" i="64"/>
  <c r="G46" i="64"/>
  <c r="G11" i="64"/>
  <c r="G27" i="64"/>
  <c r="G39" i="64"/>
  <c r="C81" i="18" l="1"/>
  <c r="F82" i="18"/>
  <c r="E34" i="64"/>
  <c r="D27" i="33" s="1"/>
  <c r="G24" i="64"/>
  <c r="E21" i="64"/>
  <c r="F52" i="64"/>
  <c r="E47" i="64"/>
  <c r="G28" i="64"/>
  <c r="D23" i="33"/>
  <c r="G34" i="64" l="1"/>
  <c r="E15" i="64"/>
  <c r="G15" i="64" s="1"/>
  <c r="D28" i="33"/>
  <c r="G16" i="64"/>
  <c r="G47" i="64"/>
  <c r="D41" i="33"/>
  <c r="G21" i="64"/>
  <c r="E12" i="63"/>
  <c r="F19" i="63"/>
  <c r="E31" i="33" l="1"/>
  <c r="E11" i="63"/>
  <c r="G11" i="63" s="1"/>
  <c r="E15" i="30"/>
  <c r="G14" i="63"/>
  <c r="B32" i="63"/>
  <c r="E23" i="63"/>
  <c r="G18" i="63"/>
  <c r="F16" i="63"/>
  <c r="F13" i="63"/>
  <c r="E13" i="63"/>
  <c r="E10" i="63"/>
  <c r="G10" i="63" s="1"/>
  <c r="F9" i="63"/>
  <c r="F5" i="63"/>
  <c r="E16" i="61"/>
  <c r="F5" i="62"/>
  <c r="F18" i="62"/>
  <c r="F26" i="61"/>
  <c r="E28" i="61"/>
  <c r="G28" i="61" s="1"/>
  <c r="E29" i="61"/>
  <c r="E27" i="61" s="1"/>
  <c r="E26" i="61" s="1"/>
  <c r="E25" i="61"/>
  <c r="E23" i="61"/>
  <c r="G23" i="61" s="1"/>
  <c r="E22" i="61"/>
  <c r="G22" i="61" s="1"/>
  <c r="F9" i="61"/>
  <c r="E12" i="61"/>
  <c r="E13" i="61"/>
  <c r="E20" i="61"/>
  <c r="F19" i="61"/>
  <c r="F24" i="61"/>
  <c r="G70" i="18" s="1"/>
  <c r="F21" i="61"/>
  <c r="F17" i="61"/>
  <c r="F5" i="61"/>
  <c r="F8" i="62" l="1"/>
  <c r="E30" i="33" s="1"/>
  <c r="E32" i="33"/>
  <c r="G13" i="63"/>
  <c r="G29" i="61"/>
  <c r="F8" i="63"/>
  <c r="E19" i="61"/>
  <c r="C31" i="33" s="1"/>
  <c r="F8" i="61"/>
  <c r="F32" i="61" s="1"/>
  <c r="E27" i="33" l="1"/>
  <c r="F15" i="63" l="1"/>
  <c r="F26" i="63" s="1"/>
  <c r="G18" i="61" l="1"/>
  <c r="E17" i="61"/>
  <c r="G11" i="61"/>
  <c r="E10" i="61"/>
  <c r="E9" i="61" s="1"/>
  <c r="G17" i="61" l="1"/>
  <c r="C30" i="33"/>
  <c r="E21" i="61"/>
  <c r="G27" i="61"/>
  <c r="G10" i="61"/>
  <c r="E24" i="61"/>
  <c r="C29" i="33" l="1"/>
  <c r="C70" i="18"/>
  <c r="G21" i="61"/>
  <c r="C27" i="33"/>
  <c r="C28" i="33"/>
  <c r="F70" i="18" l="1"/>
  <c r="H70" i="18" s="1"/>
  <c r="G26" i="61"/>
  <c r="F12" i="30" l="1"/>
  <c r="E17" i="30"/>
  <c r="F5" i="30"/>
  <c r="E9" i="30"/>
  <c r="E28" i="30"/>
  <c r="E27" i="30" s="1"/>
  <c r="E13" i="30"/>
  <c r="C39" i="18" l="1"/>
  <c r="G28" i="33"/>
  <c r="E26" i="30" l="1"/>
  <c r="E20" i="30"/>
  <c r="E19" i="60"/>
  <c r="E16" i="30"/>
  <c r="E12" i="30" s="1"/>
  <c r="E22" i="30"/>
  <c r="E21" i="30" s="1"/>
  <c r="F21" i="30"/>
  <c r="C34" i="18" l="1"/>
  <c r="C45" i="18"/>
  <c r="G26" i="30"/>
  <c r="E19" i="30"/>
  <c r="C41" i="18" s="1"/>
  <c r="F41" i="18" s="1"/>
  <c r="G20" i="30"/>
  <c r="G31" i="33" l="1"/>
  <c r="C42" i="18"/>
  <c r="F42" i="18" s="1"/>
  <c r="E26" i="60" l="1"/>
  <c r="F24" i="60"/>
  <c r="B7" i="60"/>
  <c r="E59" i="60" l="1"/>
  <c r="C73" i="18" s="1"/>
  <c r="F73" i="18" s="1"/>
  <c r="G58" i="60"/>
  <c r="E56" i="60"/>
  <c r="F55" i="60"/>
  <c r="F52" i="60" s="1"/>
  <c r="B54" i="60"/>
  <c r="E54" i="60" s="1"/>
  <c r="F53" i="60"/>
  <c r="E43" i="60"/>
  <c r="G43" i="60" s="1"/>
  <c r="E42" i="60"/>
  <c r="G42" i="60" s="1"/>
  <c r="F41" i="60"/>
  <c r="E40" i="60"/>
  <c r="E39" i="60"/>
  <c r="E37" i="60"/>
  <c r="G37" i="60" s="1"/>
  <c r="E36" i="60"/>
  <c r="E35" i="60"/>
  <c r="G35" i="60" s="1"/>
  <c r="E34" i="60"/>
  <c r="F33" i="60"/>
  <c r="G66" i="18" s="1"/>
  <c r="E32" i="60"/>
  <c r="G32" i="60" s="1"/>
  <c r="E31" i="60"/>
  <c r="E30" i="60"/>
  <c r="G30" i="60" s="1"/>
  <c r="E29" i="60"/>
  <c r="E28" i="60"/>
  <c r="F27" i="60"/>
  <c r="E25" i="60"/>
  <c r="E24" i="60" s="1"/>
  <c r="G21" i="60"/>
  <c r="E18" i="60"/>
  <c r="E15" i="60"/>
  <c r="E14" i="60"/>
  <c r="E13" i="60"/>
  <c r="E12" i="60"/>
  <c r="E11" i="60"/>
  <c r="F10" i="60"/>
  <c r="G64" i="18" s="1"/>
  <c r="E8" i="60"/>
  <c r="G8" i="60" s="1"/>
  <c r="E7" i="60"/>
  <c r="C56" i="18" s="1"/>
  <c r="F56" i="18" s="1"/>
  <c r="F5" i="60"/>
  <c r="E10" i="60" l="1"/>
  <c r="F9" i="60"/>
  <c r="E27" i="60"/>
  <c r="G7" i="60"/>
  <c r="B14" i="33"/>
  <c r="G40" i="60"/>
  <c r="B26" i="33"/>
  <c r="C67" i="18"/>
  <c r="E44" i="60"/>
  <c r="G44" i="60" s="1"/>
  <c r="G59" i="60"/>
  <c r="B32" i="33"/>
  <c r="F32" i="33" s="1"/>
  <c r="B31" i="33"/>
  <c r="F31" i="33" s="1"/>
  <c r="C72" i="18"/>
  <c r="F72" i="18" s="1"/>
  <c r="G39" i="60"/>
  <c r="B34" i="33"/>
  <c r="C75" i="18"/>
  <c r="B36" i="33"/>
  <c r="F36" i="33" s="1"/>
  <c r="C77" i="18"/>
  <c r="F77" i="18" s="1"/>
  <c r="G34" i="60"/>
  <c r="E33" i="60"/>
  <c r="C66" i="18" s="1"/>
  <c r="F66" i="18" s="1"/>
  <c r="E53" i="60"/>
  <c r="G54" i="60"/>
  <c r="G56" i="60"/>
  <c r="E55" i="60"/>
  <c r="G28" i="60"/>
  <c r="F75" i="18" l="1"/>
  <c r="H75" i="18" s="1"/>
  <c r="F67" i="18"/>
  <c r="H67" i="18" s="1"/>
  <c r="H73" i="18"/>
  <c r="G55" i="60"/>
  <c r="E52" i="60"/>
  <c r="G53" i="60"/>
  <c r="E41" i="60"/>
  <c r="C68" i="18" s="1"/>
  <c r="G45" i="60"/>
  <c r="F62" i="60"/>
  <c r="G33" i="60"/>
  <c r="B25" i="33"/>
  <c r="H66" i="18"/>
  <c r="G27" i="60"/>
  <c r="B30" i="33"/>
  <c r="C71" i="18"/>
  <c r="B23" i="33"/>
  <c r="G10" i="60"/>
  <c r="B27" i="33" l="1"/>
  <c r="F68" i="18"/>
  <c r="H68" i="18" s="1"/>
  <c r="F71" i="18"/>
  <c r="H71" i="18" s="1"/>
  <c r="B28" i="33"/>
  <c r="G41" i="60"/>
  <c r="E9" i="60"/>
  <c r="G52" i="60"/>
  <c r="E40" i="13" l="1"/>
  <c r="E39" i="13"/>
  <c r="E38" i="13"/>
  <c r="E37" i="13"/>
  <c r="E36" i="13"/>
  <c r="E35" i="13"/>
  <c r="E34" i="13"/>
  <c r="E33" i="13"/>
  <c r="E32" i="13"/>
  <c r="E31" i="13"/>
  <c r="E30" i="13"/>
  <c r="F30" i="13" s="1"/>
  <c r="E29" i="13"/>
  <c r="C18" i="59"/>
  <c r="D18" i="59"/>
  <c r="C11" i="27" l="1"/>
  <c r="C12" i="18"/>
  <c r="C49" i="18" s="1"/>
  <c r="C12" i="27"/>
  <c r="C13" i="18"/>
  <c r="F13" i="18" s="1"/>
  <c r="H13" i="18" s="1"/>
  <c r="E70" i="58"/>
  <c r="C70" i="58"/>
  <c r="B70" i="58"/>
  <c r="D70" i="58" s="1"/>
  <c r="E69" i="58"/>
  <c r="C69" i="58"/>
  <c r="B69" i="58"/>
  <c r="D69" i="58" s="1"/>
  <c r="E68" i="58"/>
  <c r="C68" i="58"/>
  <c r="B68" i="58"/>
  <c r="E67" i="58"/>
  <c r="C67" i="58"/>
  <c r="D67" i="58" s="1"/>
  <c r="G67" i="58" s="1"/>
  <c r="B67" i="58"/>
  <c r="E66" i="58"/>
  <c r="C66" i="58"/>
  <c r="B66" i="58"/>
  <c r="E65" i="58"/>
  <c r="C65" i="58"/>
  <c r="B65" i="58"/>
  <c r="G64" i="58"/>
  <c r="B64" i="58"/>
  <c r="G55" i="58"/>
  <c r="B55" i="58"/>
  <c r="E53" i="58"/>
  <c r="E61" i="58" s="1"/>
  <c r="C53" i="58"/>
  <c r="C61" i="58" s="1"/>
  <c r="B53" i="58"/>
  <c r="B61" i="58" s="1"/>
  <c r="D61" i="58" s="1"/>
  <c r="D52" i="58"/>
  <c r="F52" i="58" s="1"/>
  <c r="D51" i="58"/>
  <c r="G51" i="58" s="1"/>
  <c r="D50" i="58"/>
  <c r="F50" i="58" s="1"/>
  <c r="D49" i="58"/>
  <c r="G49" i="58" s="1"/>
  <c r="D48" i="58"/>
  <c r="G48" i="58" s="1"/>
  <c r="G47" i="58"/>
  <c r="D47" i="58"/>
  <c r="F47" i="58" s="1"/>
  <c r="G46" i="58"/>
  <c r="B46" i="58"/>
  <c r="E44" i="58"/>
  <c r="E60" i="58" s="1"/>
  <c r="C44" i="58"/>
  <c r="C60" i="58" s="1"/>
  <c r="B44" i="58"/>
  <c r="B60" i="58" s="1"/>
  <c r="G43" i="58"/>
  <c r="D43" i="58"/>
  <c r="F43" i="58" s="1"/>
  <c r="D42" i="58"/>
  <c r="G42" i="58" s="1"/>
  <c r="D41" i="58"/>
  <c r="G41" i="58" s="1"/>
  <c r="D40" i="58"/>
  <c r="F40" i="58" s="1"/>
  <c r="D39" i="58"/>
  <c r="F39" i="58" s="1"/>
  <c r="D38" i="58"/>
  <c r="G38" i="58" s="1"/>
  <c r="G37" i="58"/>
  <c r="B37" i="58"/>
  <c r="E35" i="58"/>
  <c r="E59" i="58" s="1"/>
  <c r="C35" i="58"/>
  <c r="C59" i="58" s="1"/>
  <c r="B35" i="58"/>
  <c r="B59" i="58" s="1"/>
  <c r="D34" i="58"/>
  <c r="G34" i="58" s="1"/>
  <c r="D33" i="58"/>
  <c r="G33" i="58" s="1"/>
  <c r="D32" i="58"/>
  <c r="G32" i="58" s="1"/>
  <c r="D31" i="58"/>
  <c r="F31" i="58" s="1"/>
  <c r="D30" i="58"/>
  <c r="G30" i="58" s="1"/>
  <c r="D29" i="58"/>
  <c r="G28" i="58"/>
  <c r="B28" i="58"/>
  <c r="E26" i="58"/>
  <c r="E58" i="58" s="1"/>
  <c r="C26" i="58"/>
  <c r="C58" i="58" s="1"/>
  <c r="B26" i="58"/>
  <c r="B58" i="58" s="1"/>
  <c r="D25" i="58"/>
  <c r="F25" i="58" s="1"/>
  <c r="D24" i="58"/>
  <c r="G24" i="58" s="1"/>
  <c r="F23" i="58"/>
  <c r="D23" i="58"/>
  <c r="G23" i="58" s="1"/>
  <c r="D22" i="58"/>
  <c r="G22" i="58" s="1"/>
  <c r="D21" i="58"/>
  <c r="F21" i="58" s="1"/>
  <c r="D20" i="58"/>
  <c r="G20" i="58" s="1"/>
  <c r="G19" i="58"/>
  <c r="B19" i="58"/>
  <c r="E17" i="58"/>
  <c r="E57" i="58" s="1"/>
  <c r="C17" i="58"/>
  <c r="C57" i="58" s="1"/>
  <c r="B17" i="58"/>
  <c r="B57" i="58" s="1"/>
  <c r="D16" i="58"/>
  <c r="G16" i="58" s="1"/>
  <c r="D15" i="58"/>
  <c r="G15" i="58" s="1"/>
  <c r="G14" i="58"/>
  <c r="D14" i="58"/>
  <c r="F14" i="58" s="1"/>
  <c r="D13" i="58"/>
  <c r="G13" i="58" s="1"/>
  <c r="D12" i="58"/>
  <c r="D11" i="58"/>
  <c r="F11" i="58" s="1"/>
  <c r="G10" i="58"/>
  <c r="B10" i="58"/>
  <c r="E8" i="58"/>
  <c r="E56" i="58" s="1"/>
  <c r="C8" i="58"/>
  <c r="C56" i="58" s="1"/>
  <c r="B8" i="58"/>
  <c r="B56" i="58" s="1"/>
  <c r="D7" i="58"/>
  <c r="G7" i="58" s="1"/>
  <c r="D6" i="58"/>
  <c r="G6" i="58" s="1"/>
  <c r="D5" i="58"/>
  <c r="G5" i="58" s="1"/>
  <c r="D4" i="58"/>
  <c r="F4" i="58" s="1"/>
  <c r="D3" i="58"/>
  <c r="G3" i="58" s="1"/>
  <c r="F2" i="58"/>
  <c r="D2" i="58"/>
  <c r="C71" i="58" l="1"/>
  <c r="G69" i="58"/>
  <c r="F6" i="58"/>
  <c r="G31" i="58"/>
  <c r="G40" i="58"/>
  <c r="D68" i="58"/>
  <c r="G4" i="58"/>
  <c r="F13" i="58"/>
  <c r="G21" i="58"/>
  <c r="F30" i="58"/>
  <c r="F34" i="58"/>
  <c r="F3" i="58"/>
  <c r="F7" i="58"/>
  <c r="G11" i="58"/>
  <c r="F20" i="58"/>
  <c r="F24" i="58"/>
  <c r="D35" i="58"/>
  <c r="G35" i="58" s="1"/>
  <c r="D8" i="58"/>
  <c r="G8" i="58" s="1"/>
  <c r="D17" i="58"/>
  <c r="G17" i="58" s="1"/>
  <c r="F16" i="58"/>
  <c r="F29" i="58"/>
  <c r="F33" i="58"/>
  <c r="D65" i="58"/>
  <c r="G65" i="58" s="1"/>
  <c r="E71" i="58"/>
  <c r="B71" i="58"/>
  <c r="D66" i="58"/>
  <c r="G66" i="58" s="1"/>
  <c r="F12" i="18"/>
  <c r="B62" i="58"/>
  <c r="D56" i="58"/>
  <c r="F70" i="58"/>
  <c r="G70" i="58"/>
  <c r="F61" i="58"/>
  <c r="G61" i="58"/>
  <c r="C62" i="58"/>
  <c r="D58" i="58"/>
  <c r="D57" i="58"/>
  <c r="F68" i="58"/>
  <c r="G68" i="58"/>
  <c r="E62" i="58"/>
  <c r="D60" i="58"/>
  <c r="D59" i="58"/>
  <c r="F66" i="58"/>
  <c r="D44" i="58"/>
  <c r="G44" i="58" s="1"/>
  <c r="G2" i="58"/>
  <c r="F5" i="58"/>
  <c r="F12" i="58"/>
  <c r="F15" i="58"/>
  <c r="F22" i="58"/>
  <c r="F26" i="58" s="1"/>
  <c r="D26" i="58"/>
  <c r="G26" i="58" s="1"/>
  <c r="G29" i="58"/>
  <c r="F32" i="58"/>
  <c r="F42" i="58"/>
  <c r="F49" i="58"/>
  <c r="D53" i="58"/>
  <c r="G53" i="58" s="1"/>
  <c r="F38" i="58"/>
  <c r="F41" i="58"/>
  <c r="F48" i="58"/>
  <c r="F51" i="58"/>
  <c r="F65" i="58"/>
  <c r="F67" i="58"/>
  <c r="F69" i="58"/>
  <c r="F35" i="58" l="1"/>
  <c r="D71" i="58"/>
  <c r="F72" i="58" s="1"/>
  <c r="F17" i="58"/>
  <c r="F53" i="58"/>
  <c r="F8" i="58"/>
  <c r="H12" i="18"/>
  <c r="G58" i="58"/>
  <c r="F58" i="58"/>
  <c r="G56" i="58"/>
  <c r="F56" i="58"/>
  <c r="D62" i="58"/>
  <c r="G62" i="58" s="1"/>
  <c r="F71" i="58"/>
  <c r="F44" i="58"/>
  <c r="G73" i="58"/>
  <c r="G71" i="58"/>
  <c r="F73" i="58"/>
  <c r="G72" i="58"/>
  <c r="F59" i="58"/>
  <c r="G59" i="58"/>
  <c r="G60" i="58"/>
  <c r="F60" i="58"/>
  <c r="G57" i="58"/>
  <c r="F57" i="58"/>
  <c r="F62" i="58" l="1"/>
  <c r="F11" i="18" l="1"/>
  <c r="H11" i="18" l="1"/>
  <c r="F49" i="18"/>
  <c r="B46" i="30" s="1"/>
  <c r="G9" i="30"/>
  <c r="E32" i="30"/>
  <c r="F30" i="30"/>
  <c r="F36" i="30"/>
  <c r="E31" i="30"/>
  <c r="E30" i="30" l="1"/>
  <c r="F29" i="30"/>
  <c r="T45" i="21" l="1"/>
  <c r="T30" i="21"/>
  <c r="U25" i="21" s="1"/>
  <c r="U8" i="21"/>
  <c r="F26" i="21" l="1"/>
  <c r="F24" i="21"/>
  <c r="F8" i="21"/>
  <c r="F9" i="21" s="1"/>
  <c r="F53" i="21" s="1"/>
  <c r="F34" i="21" l="1"/>
  <c r="F40" i="21"/>
  <c r="H49" i="18"/>
  <c r="F50" i="21" l="1"/>
  <c r="F14" i="1" l="1"/>
  <c r="F35" i="21" l="1"/>
  <c r="F36" i="21" s="1"/>
  <c r="F27" i="21"/>
  <c r="F15" i="21"/>
  <c r="X7" i="21"/>
  <c r="X8" i="21"/>
  <c r="X15" i="21"/>
  <c r="X16" i="21"/>
  <c r="X17" i="21"/>
  <c r="X18" i="21"/>
  <c r="X19" i="21"/>
  <c r="X20" i="21"/>
  <c r="X21" i="21"/>
  <c r="X24" i="21"/>
  <c r="X26" i="21"/>
  <c r="X27" i="21"/>
  <c r="X34" i="21"/>
  <c r="X35" i="21"/>
  <c r="X40" i="21"/>
  <c r="X41" i="21"/>
  <c r="X42" i="21"/>
  <c r="X49" i="21"/>
  <c r="X50" i="21"/>
  <c r="F28" i="21" l="1"/>
  <c r="H15" i="21"/>
  <c r="Y15" i="21" l="1"/>
  <c r="E10" i="30"/>
  <c r="C26" i="18" s="1"/>
  <c r="H13" i="1" l="1"/>
  <c r="H14" i="1"/>
  <c r="G10" i="18" l="1"/>
  <c r="B8" i="50"/>
  <c r="G13" i="50" l="1"/>
  <c r="F14" i="50" l="1"/>
  <c r="B14" i="50"/>
  <c r="E14" i="50" l="1"/>
  <c r="C12" i="33" l="1"/>
  <c r="C40" i="33"/>
  <c r="F40" i="13"/>
  <c r="F39" i="13"/>
  <c r="F38" i="13"/>
  <c r="F37" i="13"/>
  <c r="F36" i="13"/>
  <c r="F35" i="13"/>
  <c r="F34" i="13"/>
  <c r="F33" i="13"/>
  <c r="F32" i="13"/>
  <c r="F31" i="13"/>
  <c r="F29" i="13"/>
  <c r="F9" i="13"/>
  <c r="F10" i="13"/>
  <c r="F11" i="13"/>
  <c r="F12" i="13"/>
  <c r="F13" i="13"/>
  <c r="F14" i="13"/>
  <c r="F15" i="13"/>
  <c r="F16" i="13"/>
  <c r="F17" i="13"/>
  <c r="F18" i="13"/>
  <c r="F19" i="13"/>
  <c r="F8" i="13"/>
  <c r="D20" i="13"/>
  <c r="F41" i="13" l="1"/>
  <c r="F20" i="13"/>
  <c r="F12" i="50"/>
  <c r="B12" i="50"/>
  <c r="F10" i="50"/>
  <c r="B10" i="50"/>
  <c r="F7" i="50"/>
  <c r="F6" i="50" s="1"/>
  <c r="B7" i="50"/>
  <c r="B6" i="50" s="1"/>
  <c r="H41" i="13" l="1"/>
  <c r="C16" i="27" s="1"/>
  <c r="C17" i="18"/>
  <c r="F17" i="18" s="1"/>
  <c r="H17" i="18" s="1"/>
  <c r="F9" i="50"/>
  <c r="C14" i="33"/>
  <c r="E6" i="50"/>
  <c r="G8" i="50"/>
  <c r="F16" i="50"/>
  <c r="B9" i="50"/>
  <c r="E10" i="50"/>
  <c r="E12" i="50"/>
  <c r="G12" i="50" s="1"/>
  <c r="E7" i="50"/>
  <c r="G7" i="50" s="1"/>
  <c r="G11" i="50"/>
  <c r="E9" i="50" l="1"/>
  <c r="E16" i="50" s="1"/>
  <c r="G6" i="50"/>
  <c r="G10" i="50"/>
  <c r="G9" i="50" l="1"/>
  <c r="G16" i="50"/>
  <c r="F93" i="18" l="1"/>
  <c r="H93" i="18" s="1"/>
  <c r="F92" i="18"/>
  <c r="H92" i="18" s="1"/>
  <c r="H86" i="18"/>
  <c r="H79" i="18"/>
  <c r="F40" i="18"/>
  <c r="H40" i="18" s="1"/>
  <c r="F39" i="18"/>
  <c r="F38" i="18"/>
  <c r="H38" i="18" s="1"/>
  <c r="F37" i="18"/>
  <c r="H37" i="18" s="1"/>
  <c r="F35" i="18"/>
  <c r="H35" i="18" s="1"/>
  <c r="F34" i="18"/>
  <c r="H34" i="18" s="1"/>
  <c r="F16" i="18"/>
  <c r="H16" i="18" s="1"/>
  <c r="H84" i="18" l="1"/>
  <c r="H7" i="21" l="1"/>
  <c r="Y7" i="21" s="1"/>
  <c r="H85" i="18" l="1"/>
  <c r="H83" i="18" l="1"/>
  <c r="H82" i="18" l="1"/>
  <c r="F81" i="18"/>
  <c r="F14" i="33"/>
  <c r="H56" i="18"/>
  <c r="E43" i="21" l="1"/>
  <c r="E36" i="21"/>
  <c r="D20" i="21"/>
  <c r="D21" i="21"/>
  <c r="M20" i="21" l="1"/>
  <c r="M21" i="21"/>
  <c r="H20" i="21"/>
  <c r="I20" i="21"/>
  <c r="H21" i="21"/>
  <c r="I21" i="21" l="1"/>
  <c r="O21" i="21" s="1"/>
  <c r="J21" i="21"/>
  <c r="Y21" i="21"/>
  <c r="K21" i="21"/>
  <c r="K20" i="21"/>
  <c r="J20" i="21"/>
  <c r="L20" i="21" s="1"/>
  <c r="Y20" i="21"/>
  <c r="N21" i="21"/>
  <c r="O20" i="21"/>
  <c r="N20" i="21"/>
  <c r="Q20" i="21"/>
  <c r="R20" i="21"/>
  <c r="P20" i="21"/>
  <c r="S20" i="21"/>
  <c r="Q21" i="21"/>
  <c r="P21" i="21"/>
  <c r="S21" i="21"/>
  <c r="L21" i="21"/>
  <c r="R21" i="21" l="1"/>
  <c r="T21" i="21" s="1"/>
  <c r="V21" i="21" s="1"/>
  <c r="T20" i="21"/>
  <c r="V20" i="21" s="1"/>
  <c r="E37" i="30" l="1"/>
  <c r="E40" i="30" l="1"/>
  <c r="G40" i="30" s="1"/>
  <c r="Y26" i="21" l="1"/>
  <c r="E36" i="30" l="1"/>
  <c r="E29" i="30" s="1"/>
  <c r="C47" i="18" s="1"/>
  <c r="G36" i="30" l="1"/>
  <c r="F19" i="30"/>
  <c r="F23" i="30"/>
  <c r="F41" i="30"/>
  <c r="F11" i="30" l="1"/>
  <c r="F43" i="30" s="1"/>
  <c r="G29" i="30"/>
  <c r="Y8" i="21"/>
  <c r="G26" i="21" l="1"/>
  <c r="G28" i="21" s="1"/>
  <c r="G8" i="21"/>
  <c r="E15" i="27"/>
  <c r="E12" i="27"/>
  <c r="H26" i="21" l="1"/>
  <c r="H8" i="21"/>
  <c r="E11" i="27"/>
  <c r="E51" i="21" l="1"/>
  <c r="E28" i="21"/>
  <c r="F42" i="21"/>
  <c r="F41" i="21"/>
  <c r="F51" i="21"/>
  <c r="G51" i="21"/>
  <c r="D50" i="21"/>
  <c r="F43" i="21" l="1"/>
  <c r="F54" i="21" s="1"/>
  <c r="F55" i="21" s="1"/>
  <c r="M50" i="21"/>
  <c r="Y35" i="21"/>
  <c r="Y41" i="21"/>
  <c r="H40" i="21"/>
  <c r="U51" i="21"/>
  <c r="I50" i="21"/>
  <c r="H50" i="21"/>
  <c r="J50" i="21" s="1"/>
  <c r="H49" i="21"/>
  <c r="D49" i="21"/>
  <c r="M49" i="21" s="1"/>
  <c r="K50" i="21" l="1"/>
  <c r="O50" i="21"/>
  <c r="N50" i="21"/>
  <c r="K49" i="21"/>
  <c r="J49" i="21"/>
  <c r="Y49" i="21"/>
  <c r="Y40" i="21"/>
  <c r="M51" i="21"/>
  <c r="E11" i="33" s="1"/>
  <c r="R50" i="21"/>
  <c r="Q50" i="21"/>
  <c r="S50" i="21"/>
  <c r="H51" i="21"/>
  <c r="P50" i="21"/>
  <c r="I49" i="21"/>
  <c r="O49" i="21" l="1"/>
  <c r="O51" i="21" s="1"/>
  <c r="N49" i="21"/>
  <c r="N51" i="21" s="1"/>
  <c r="Q49" i="21"/>
  <c r="Q51" i="21" s="1"/>
  <c r="E19" i="33" s="1"/>
  <c r="S49" i="21"/>
  <c r="S51" i="21" s="1"/>
  <c r="R49" i="21"/>
  <c r="R51" i="21" s="1"/>
  <c r="J51" i="21"/>
  <c r="E16" i="33" s="1"/>
  <c r="I51" i="21"/>
  <c r="E10" i="33" s="1"/>
  <c r="L50" i="21"/>
  <c r="T50" i="21" s="1"/>
  <c r="P49" i="21"/>
  <c r="P51" i="21" s="1"/>
  <c r="L49" i="21"/>
  <c r="K51" i="21"/>
  <c r="E17" i="33" s="1"/>
  <c r="V50" i="21" l="1"/>
  <c r="E7" i="63" s="1"/>
  <c r="E18" i="33"/>
  <c r="E20" i="33"/>
  <c r="L51" i="21"/>
  <c r="E13" i="33" s="1"/>
  <c r="T49" i="21"/>
  <c r="T51" i="21" s="1"/>
  <c r="E25" i="63" l="1"/>
  <c r="B7" i="63"/>
  <c r="G7" i="63"/>
  <c r="G25" i="63"/>
  <c r="E9" i="33"/>
  <c r="V49" i="21"/>
  <c r="E6" i="63" s="1"/>
  <c r="B6" i="63" s="1"/>
  <c r="U26" i="21"/>
  <c r="B25" i="63" l="1"/>
  <c r="B35" i="63"/>
  <c r="E5" i="63"/>
  <c r="G5" i="63" s="1"/>
  <c r="B29" i="63"/>
  <c r="G6" i="63"/>
  <c r="V51" i="21"/>
  <c r="G41" i="21"/>
  <c r="H41" i="21" s="1"/>
  <c r="D15" i="21" l="1"/>
  <c r="D16" i="21"/>
  <c r="M16" i="21" s="1"/>
  <c r="D17" i="21"/>
  <c r="M17" i="21" s="1"/>
  <c r="D18" i="21"/>
  <c r="M18" i="21" s="1"/>
  <c r="D19" i="21"/>
  <c r="D24" i="21"/>
  <c r="M24" i="21" s="1"/>
  <c r="D26" i="21"/>
  <c r="D27" i="21"/>
  <c r="D34" i="21"/>
  <c r="D35" i="21"/>
  <c r="D40" i="21"/>
  <c r="D41" i="21"/>
  <c r="D42" i="21"/>
  <c r="M42" i="21" s="1"/>
  <c r="G43" i="21"/>
  <c r="G36" i="21"/>
  <c r="H17" i="21"/>
  <c r="L27" i="21"/>
  <c r="L35" i="21"/>
  <c r="H42" i="21"/>
  <c r="U27" i="21"/>
  <c r="F35" i="33"/>
  <c r="H35" i="33" s="1"/>
  <c r="C91" i="18"/>
  <c r="D81" i="18"/>
  <c r="D87" i="18"/>
  <c r="E63" i="18"/>
  <c r="E81" i="18"/>
  <c r="E87" i="18"/>
  <c r="E91" i="18"/>
  <c r="U36" i="21"/>
  <c r="D7" i="21"/>
  <c r="D8" i="21"/>
  <c r="M8" i="21" s="1"/>
  <c r="E8" i="30"/>
  <c r="B8" i="30" s="1"/>
  <c r="E24" i="30"/>
  <c r="E25" i="30"/>
  <c r="G25" i="30" s="1"/>
  <c r="E41" i="30"/>
  <c r="G37" i="30"/>
  <c r="G15" i="18"/>
  <c r="G18" i="18" s="1"/>
  <c r="G63" i="18"/>
  <c r="G81" i="18"/>
  <c r="H81" i="18" s="1"/>
  <c r="G87" i="18"/>
  <c r="G48" i="18"/>
  <c r="D48" i="18"/>
  <c r="D10" i="18"/>
  <c r="D15" i="18"/>
  <c r="E21" i="18"/>
  <c r="E33" i="18"/>
  <c r="E48" i="18"/>
  <c r="B40" i="33"/>
  <c r="G23" i="33"/>
  <c r="G24" i="33"/>
  <c r="G26" i="33"/>
  <c r="G27" i="33"/>
  <c r="G29" i="33"/>
  <c r="G32" i="33"/>
  <c r="G33" i="33"/>
  <c r="G40" i="33"/>
  <c r="F49" i="33"/>
  <c r="F91" i="18"/>
  <c r="H91" i="18" s="1"/>
  <c r="F45" i="33"/>
  <c r="H45" i="33" s="1"/>
  <c r="F44" i="33"/>
  <c r="H44" i="33" s="1"/>
  <c r="F43" i="33"/>
  <c r="H43" i="33" s="1"/>
  <c r="E10" i="18"/>
  <c r="E15" i="18"/>
  <c r="E54" i="21"/>
  <c r="H56" i="30"/>
  <c r="E9" i="21"/>
  <c r="E53" i="21" s="1"/>
  <c r="U41" i="21"/>
  <c r="E14" i="64" s="1"/>
  <c r="L7" i="28"/>
  <c r="D17" i="28" s="1"/>
  <c r="E17" i="28" s="1"/>
  <c r="D12" i="28"/>
  <c r="E12" i="28" s="1"/>
  <c r="D11" i="28"/>
  <c r="E11" i="28" s="1"/>
  <c r="D10" i="28"/>
  <c r="E10" i="28" s="1"/>
  <c r="H53" i="30"/>
  <c r="H52" i="30"/>
  <c r="C46" i="18" l="1"/>
  <c r="G41" i="30"/>
  <c r="B14" i="64"/>
  <c r="G14" i="64"/>
  <c r="G24" i="30"/>
  <c r="E23" i="30"/>
  <c r="M19" i="21"/>
  <c r="E55" i="21"/>
  <c r="M26" i="21"/>
  <c r="I26" i="21"/>
  <c r="K26" i="21"/>
  <c r="J26" i="21"/>
  <c r="M15" i="21"/>
  <c r="K15" i="21"/>
  <c r="J15" i="21"/>
  <c r="M7" i="21"/>
  <c r="M9" i="21" s="1"/>
  <c r="C23" i="18" s="1"/>
  <c r="I7" i="21"/>
  <c r="M34" i="21"/>
  <c r="M41" i="21"/>
  <c r="J41" i="21"/>
  <c r="K41" i="21"/>
  <c r="I40" i="21"/>
  <c r="N40" i="21" s="1"/>
  <c r="M40" i="21"/>
  <c r="M43" i="21" s="1"/>
  <c r="K40" i="21"/>
  <c r="J40" i="21"/>
  <c r="H27" i="21"/>
  <c r="Y27" i="21"/>
  <c r="K42" i="21"/>
  <c r="Y42" i="21"/>
  <c r="J42" i="21"/>
  <c r="Y17" i="21"/>
  <c r="J17" i="21"/>
  <c r="L17" i="21" s="1"/>
  <c r="K17" i="21"/>
  <c r="F46" i="18"/>
  <c r="H46" i="18" s="1"/>
  <c r="F45" i="18"/>
  <c r="H45" i="18" s="1"/>
  <c r="U43" i="21"/>
  <c r="D15" i="33" s="1"/>
  <c r="K38" i="21"/>
  <c r="H43" i="21"/>
  <c r="G34" i="33"/>
  <c r="I8" i="21"/>
  <c r="I35" i="21"/>
  <c r="O35" i="21" s="1"/>
  <c r="I27" i="21"/>
  <c r="O27" i="21" s="1"/>
  <c r="I42" i="21"/>
  <c r="I34" i="21"/>
  <c r="H24" i="21"/>
  <c r="I24" i="21"/>
  <c r="I16" i="21"/>
  <c r="H19" i="21"/>
  <c r="I19" i="21"/>
  <c r="H18" i="21"/>
  <c r="I18" i="21"/>
  <c r="I15" i="21"/>
  <c r="I17" i="21"/>
  <c r="D80" i="18"/>
  <c r="H33" i="33"/>
  <c r="H34" i="21"/>
  <c r="Y34" i="21" s="1"/>
  <c r="H16" i="21"/>
  <c r="F29" i="33"/>
  <c r="H29" i="33" s="1"/>
  <c r="H35" i="21"/>
  <c r="G9" i="21"/>
  <c r="G53" i="21" s="1"/>
  <c r="D18" i="18"/>
  <c r="E18" i="18"/>
  <c r="E80" i="18"/>
  <c r="G37" i="33"/>
  <c r="H37" i="33" s="1"/>
  <c r="D21" i="18"/>
  <c r="G80" i="18"/>
  <c r="G50" i="18" s="1"/>
  <c r="D51" i="18"/>
  <c r="U9" i="21"/>
  <c r="G20" i="18"/>
  <c r="F26" i="33"/>
  <c r="H26" i="33" s="1"/>
  <c r="D33" i="18"/>
  <c r="J7" i="21"/>
  <c r="L7" i="21" s="1"/>
  <c r="E20" i="18"/>
  <c r="F34" i="33"/>
  <c r="H32" i="33"/>
  <c r="C36" i="18" l="1"/>
  <c r="C33" i="18" s="1"/>
  <c r="E11" i="30"/>
  <c r="G54" i="21"/>
  <c r="C54" i="18" s="1"/>
  <c r="F54" i="18" s="1"/>
  <c r="H54" i="18" s="1"/>
  <c r="B12" i="33"/>
  <c r="G23" i="30"/>
  <c r="I28" i="21"/>
  <c r="B10" i="33" s="1"/>
  <c r="H28" i="21"/>
  <c r="M28" i="21"/>
  <c r="B11" i="33" s="1"/>
  <c r="C24" i="18"/>
  <c r="F24" i="18" s="1"/>
  <c r="H24" i="18" s="1"/>
  <c r="D12" i="33"/>
  <c r="U53" i="21"/>
  <c r="C27" i="18"/>
  <c r="G15" i="33" s="1"/>
  <c r="O26" i="21"/>
  <c r="N26" i="21"/>
  <c r="O24" i="21"/>
  <c r="N24" i="21"/>
  <c r="K24" i="21"/>
  <c r="J24" i="21"/>
  <c r="L24" i="21" s="1"/>
  <c r="Y24" i="21"/>
  <c r="R7" i="21"/>
  <c r="Q7" i="21"/>
  <c r="N7" i="21"/>
  <c r="S7" i="21"/>
  <c r="O7" i="21"/>
  <c r="K34" i="21"/>
  <c r="K36" i="21" s="1"/>
  <c r="C17" i="33" s="1"/>
  <c r="J34" i="21"/>
  <c r="L34" i="21" s="1"/>
  <c r="L36" i="21" s="1"/>
  <c r="C13" i="33" s="1"/>
  <c r="N34" i="21"/>
  <c r="N36" i="21" s="1"/>
  <c r="O34" i="21"/>
  <c r="O36" i="21" s="1"/>
  <c r="O40" i="21"/>
  <c r="O15" i="21"/>
  <c r="N15" i="21"/>
  <c r="K19" i="21"/>
  <c r="Y19" i="21"/>
  <c r="J19" i="21"/>
  <c r="L19" i="21" s="1"/>
  <c r="O42" i="21"/>
  <c r="N42" i="21"/>
  <c r="N18" i="21"/>
  <c r="O18" i="21"/>
  <c r="O16" i="21"/>
  <c r="N16" i="21"/>
  <c r="J18" i="21"/>
  <c r="L18" i="21" s="1"/>
  <c r="K18" i="21"/>
  <c r="Y18" i="21"/>
  <c r="Y16" i="21"/>
  <c r="K16" i="21"/>
  <c r="J16" i="21"/>
  <c r="L16" i="21" s="1"/>
  <c r="O17" i="21"/>
  <c r="N17" i="21"/>
  <c r="O19" i="21"/>
  <c r="N19" i="21"/>
  <c r="N8" i="21"/>
  <c r="O8" i="21"/>
  <c r="G94" i="18"/>
  <c r="Q15" i="21"/>
  <c r="S15" i="21"/>
  <c r="R15" i="21"/>
  <c r="S8" i="21"/>
  <c r="H34" i="33"/>
  <c r="G8" i="30"/>
  <c r="R8" i="21"/>
  <c r="M36" i="21"/>
  <c r="P27" i="21"/>
  <c r="S40" i="21"/>
  <c r="R40" i="21"/>
  <c r="Q40" i="21"/>
  <c r="P42" i="21"/>
  <c r="S42" i="21"/>
  <c r="R42" i="21"/>
  <c r="Q42" i="21"/>
  <c r="R34" i="21"/>
  <c r="R36" i="21" s="1"/>
  <c r="S34" i="21"/>
  <c r="S36" i="21" s="1"/>
  <c r="Q34" i="21"/>
  <c r="Q36" i="21" s="1"/>
  <c r="C19" i="33" s="1"/>
  <c r="Q8" i="21"/>
  <c r="R26" i="21"/>
  <c r="Q26" i="21"/>
  <c r="S26" i="21"/>
  <c r="Q19" i="21"/>
  <c r="S19" i="21"/>
  <c r="R19" i="21"/>
  <c r="R17" i="21"/>
  <c r="Q17" i="21"/>
  <c r="S17" i="21"/>
  <c r="S18" i="21"/>
  <c r="R18" i="21"/>
  <c r="Q18" i="21"/>
  <c r="R24" i="21"/>
  <c r="Q24" i="21"/>
  <c r="S24" i="21"/>
  <c r="Q16" i="21"/>
  <c r="S16" i="21"/>
  <c r="R16" i="21"/>
  <c r="L42" i="21"/>
  <c r="L40" i="21"/>
  <c r="L15" i="21"/>
  <c r="N38" i="21"/>
  <c r="I41" i="21"/>
  <c r="P15" i="21"/>
  <c r="L26" i="21"/>
  <c r="P26" i="21"/>
  <c r="H36" i="21"/>
  <c r="P35" i="21"/>
  <c r="T35" i="21" s="1"/>
  <c r="V35" i="21" s="1"/>
  <c r="E7" i="61" s="1"/>
  <c r="P8" i="21"/>
  <c r="P18" i="21"/>
  <c r="P16" i="21"/>
  <c r="K8" i="21"/>
  <c r="D20" i="18"/>
  <c r="P34" i="21"/>
  <c r="I36" i="21"/>
  <c r="C10" i="33" s="1"/>
  <c r="P19" i="21"/>
  <c r="G19" i="30"/>
  <c r="F25" i="33"/>
  <c r="K7" i="21"/>
  <c r="F24" i="33"/>
  <c r="H24" i="33" s="1"/>
  <c r="F30" i="33"/>
  <c r="P17" i="21"/>
  <c r="P24" i="21"/>
  <c r="P40" i="21"/>
  <c r="G55" i="21" l="1"/>
  <c r="G95" i="18"/>
  <c r="F27" i="18"/>
  <c r="H27" i="18" s="1"/>
  <c r="K28" i="21"/>
  <c r="B17" i="33" s="1"/>
  <c r="B7" i="61"/>
  <c r="G7" i="61"/>
  <c r="L28" i="21"/>
  <c r="B13" i="33" s="1"/>
  <c r="J28" i="21"/>
  <c r="F12" i="33"/>
  <c r="P28" i="21"/>
  <c r="O28" i="21"/>
  <c r="N41" i="21"/>
  <c r="N43" i="21" s="1"/>
  <c r="O41" i="21"/>
  <c r="O43" i="21" s="1"/>
  <c r="H54" i="21"/>
  <c r="T27" i="21"/>
  <c r="V27" i="21" s="1"/>
  <c r="P41" i="21"/>
  <c r="P43" i="21" s="1"/>
  <c r="C20" i="33"/>
  <c r="C11" i="33"/>
  <c r="M53" i="21"/>
  <c r="T26" i="21"/>
  <c r="H41" i="18"/>
  <c r="F47" i="18"/>
  <c r="H47" i="18" s="1"/>
  <c r="F36" i="18"/>
  <c r="H36" i="18" s="1"/>
  <c r="G12" i="33"/>
  <c r="T19" i="21"/>
  <c r="V19" i="21" s="1"/>
  <c r="T15" i="21"/>
  <c r="V15" i="21" s="1"/>
  <c r="T18" i="21"/>
  <c r="V18" i="21" s="1"/>
  <c r="T24" i="21"/>
  <c r="V24" i="21" s="1"/>
  <c r="T16" i="21"/>
  <c r="V16" i="21" s="1"/>
  <c r="G25" i="33"/>
  <c r="H25" i="33" s="1"/>
  <c r="N28" i="21"/>
  <c r="S41" i="21"/>
  <c r="S43" i="21" s="1"/>
  <c r="R41" i="21"/>
  <c r="R43" i="21" s="1"/>
  <c r="Q41" i="21"/>
  <c r="Q43" i="21" s="1"/>
  <c r="D19" i="33" s="1"/>
  <c r="P7" i="21"/>
  <c r="P9" i="21" s="1"/>
  <c r="P53" i="21" s="1"/>
  <c r="Q9" i="21"/>
  <c r="C31" i="18" s="1"/>
  <c r="R9" i="21"/>
  <c r="S9" i="21"/>
  <c r="S53" i="21" s="1"/>
  <c r="I43" i="21"/>
  <c r="D10" i="33" s="1"/>
  <c r="F27" i="33"/>
  <c r="H27" i="33" s="1"/>
  <c r="T42" i="21"/>
  <c r="V42" i="21" s="1"/>
  <c r="I9" i="21"/>
  <c r="C22" i="18" s="1"/>
  <c r="O9" i="21"/>
  <c r="O53" i="21" s="1"/>
  <c r="J36" i="21"/>
  <c r="C16" i="33" s="1"/>
  <c r="H9" i="21"/>
  <c r="H53" i="21" s="1"/>
  <c r="J8" i="21"/>
  <c r="N9" i="21"/>
  <c r="P36" i="21"/>
  <c r="C18" i="33" s="1"/>
  <c r="Q28" i="21"/>
  <c r="B19" i="33" s="1"/>
  <c r="R28" i="21"/>
  <c r="K9" i="21"/>
  <c r="C29" i="18" s="1"/>
  <c r="F41" i="33"/>
  <c r="H41" i="33" s="1"/>
  <c r="D40" i="33"/>
  <c r="T34" i="21"/>
  <c r="T17" i="21"/>
  <c r="V17" i="21" s="1"/>
  <c r="G30" i="33"/>
  <c r="H30" i="33" s="1"/>
  <c r="T40" i="21"/>
  <c r="S28" i="21"/>
  <c r="G38" i="33"/>
  <c r="H38" i="33" s="1"/>
  <c r="C14" i="18" l="1"/>
  <c r="F14" i="18" s="1"/>
  <c r="G96" i="18"/>
  <c r="H12" i="33"/>
  <c r="G7" i="64"/>
  <c r="B18" i="33"/>
  <c r="N53" i="21"/>
  <c r="C30" i="18"/>
  <c r="R53" i="21"/>
  <c r="C32" i="18"/>
  <c r="AB42" i="21"/>
  <c r="E8" i="64" s="1"/>
  <c r="B20" i="33"/>
  <c r="T7" i="21"/>
  <c r="V7" i="21" s="1"/>
  <c r="B16" i="33"/>
  <c r="L8" i="21"/>
  <c r="T8" i="21" s="1"/>
  <c r="G11" i="33"/>
  <c r="F19" i="33"/>
  <c r="C9" i="33"/>
  <c r="D11" i="33"/>
  <c r="F11" i="33" s="1"/>
  <c r="F10" i="33"/>
  <c r="M54" i="21"/>
  <c r="C53" i="18" s="1"/>
  <c r="F53" i="18" s="1"/>
  <c r="D18" i="33"/>
  <c r="D20" i="33"/>
  <c r="F33" i="18"/>
  <c r="H33" i="18" s="1"/>
  <c r="R54" i="21"/>
  <c r="T36" i="21"/>
  <c r="K43" i="21"/>
  <c r="D17" i="33" s="1"/>
  <c r="F17" i="33" s="1"/>
  <c r="T28" i="21"/>
  <c r="Q54" i="21"/>
  <c r="C61" i="18" s="1"/>
  <c r="F61" i="18" s="1"/>
  <c r="W42" i="21"/>
  <c r="S54" i="21"/>
  <c r="P54" i="21"/>
  <c r="P55" i="21" s="1"/>
  <c r="H55" i="21"/>
  <c r="I53" i="21"/>
  <c r="I54" i="21"/>
  <c r="C52" i="18" s="1"/>
  <c r="F52" i="18" s="1"/>
  <c r="K53" i="21"/>
  <c r="N54" i="21"/>
  <c r="Q53" i="21"/>
  <c r="O54" i="21"/>
  <c r="H55" i="30"/>
  <c r="L41" i="21"/>
  <c r="T41" i="21" s="1"/>
  <c r="E9" i="64" s="1"/>
  <c r="J43" i="21"/>
  <c r="D16" i="33" s="1"/>
  <c r="J9" i="21"/>
  <c r="V34" i="21"/>
  <c r="E6" i="61" s="1"/>
  <c r="D9" i="27"/>
  <c r="G22" i="33"/>
  <c r="V40" i="21"/>
  <c r="E6" i="64" s="1"/>
  <c r="H14" i="18" l="1"/>
  <c r="C13" i="27"/>
  <c r="B6" i="61"/>
  <c r="E5" i="61"/>
  <c r="G5" i="61" s="1"/>
  <c r="G6" i="61"/>
  <c r="N55" i="21"/>
  <c r="E6" i="60"/>
  <c r="E5" i="60" s="1"/>
  <c r="G5" i="60" s="1"/>
  <c r="B6" i="64"/>
  <c r="G6" i="64"/>
  <c r="E5" i="64"/>
  <c r="J53" i="21"/>
  <c r="C28" i="18"/>
  <c r="R55" i="21"/>
  <c r="C62" i="18"/>
  <c r="F62" i="18" s="1"/>
  <c r="B8" i="64"/>
  <c r="G8" i="64"/>
  <c r="G9" i="64"/>
  <c r="B9" i="64"/>
  <c r="C60" i="18"/>
  <c r="F60" i="18" s="1"/>
  <c r="F16" i="33"/>
  <c r="J54" i="21"/>
  <c r="F23" i="18"/>
  <c r="H23" i="18" s="1"/>
  <c r="F20" i="33"/>
  <c r="H11" i="33"/>
  <c r="F18" i="33"/>
  <c r="M55" i="21"/>
  <c r="H53" i="18"/>
  <c r="F30" i="18"/>
  <c r="H30" i="18" s="1"/>
  <c r="G10" i="33"/>
  <c r="H10" i="33" s="1"/>
  <c r="F22" i="18"/>
  <c r="H22" i="18" s="1"/>
  <c r="F31" i="18"/>
  <c r="H31" i="18" s="1"/>
  <c r="F29" i="18"/>
  <c r="H29" i="18" s="1"/>
  <c r="H52" i="18"/>
  <c r="F32" i="18"/>
  <c r="H32" i="18" s="1"/>
  <c r="O55" i="21"/>
  <c r="S55" i="21"/>
  <c r="H61" i="18"/>
  <c r="G19" i="33"/>
  <c r="H19" i="33" s="1"/>
  <c r="G17" i="33"/>
  <c r="K54" i="21"/>
  <c r="C59" i="18" s="1"/>
  <c r="F59" i="18" s="1"/>
  <c r="Q55" i="21"/>
  <c r="I55" i="21"/>
  <c r="V36" i="21"/>
  <c r="V8" i="21"/>
  <c r="E7" i="30"/>
  <c r="G18" i="33"/>
  <c r="L43" i="21"/>
  <c r="G20" i="33"/>
  <c r="L9" i="21"/>
  <c r="T9" i="21"/>
  <c r="T53" i="21" s="1"/>
  <c r="E6" i="30"/>
  <c r="V57" i="21" s="1"/>
  <c r="V26" i="21"/>
  <c r="E13" i="27" l="1"/>
  <c r="C9" i="27"/>
  <c r="E9" i="27" s="1"/>
  <c r="G7" i="30"/>
  <c r="G6" i="30"/>
  <c r="G6" i="60"/>
  <c r="B6" i="60"/>
  <c r="V25" i="21"/>
  <c r="V28" i="21" s="1"/>
  <c r="U28" i="21"/>
  <c r="L53" i="21"/>
  <c r="C25" i="18"/>
  <c r="C21" i="18" s="1"/>
  <c r="C20" i="18" s="1"/>
  <c r="G5" i="64"/>
  <c r="E52" i="64"/>
  <c r="G52" i="64" s="1"/>
  <c r="J55" i="21"/>
  <c r="C58" i="18"/>
  <c r="F58" i="18" s="1"/>
  <c r="E5" i="30"/>
  <c r="L54" i="21"/>
  <c r="C55" i="18" s="1"/>
  <c r="F55" i="18" s="1"/>
  <c r="D13" i="33"/>
  <c r="F28" i="18"/>
  <c r="H28" i="18" s="1"/>
  <c r="K55" i="21"/>
  <c r="H60" i="18"/>
  <c r="H62" i="18"/>
  <c r="H17" i="33"/>
  <c r="G16" i="33"/>
  <c r="H16" i="33" s="1"/>
  <c r="T43" i="21"/>
  <c r="T54" i="21" s="1"/>
  <c r="T55" i="21" s="1"/>
  <c r="V41" i="21"/>
  <c r="V43" i="21" s="1"/>
  <c r="B7" i="30"/>
  <c r="B6" i="30"/>
  <c r="H18" i="33"/>
  <c r="E51" i="18"/>
  <c r="H20" i="33"/>
  <c r="V9" i="21"/>
  <c r="V53" i="21" s="1"/>
  <c r="U54" i="21" l="1"/>
  <c r="B15" i="33"/>
  <c r="V54" i="21"/>
  <c r="V55" i="21" s="1"/>
  <c r="V58" i="21" s="1"/>
  <c r="C57" i="18"/>
  <c r="U55" i="21"/>
  <c r="F13" i="33"/>
  <c r="D9" i="33"/>
  <c r="L55" i="21"/>
  <c r="F25" i="18"/>
  <c r="H25" i="18" s="1"/>
  <c r="H55" i="18"/>
  <c r="H59" i="18"/>
  <c r="E50" i="18"/>
  <c r="E94" i="18" s="1"/>
  <c r="E96" i="18" s="1"/>
  <c r="E97" i="18" s="1"/>
  <c r="G13" i="33"/>
  <c r="H54" i="30"/>
  <c r="F57" i="18" l="1"/>
  <c r="H57" i="18" s="1"/>
  <c r="F15" i="33"/>
  <c r="H15" i="33" s="1"/>
  <c r="B9" i="33"/>
  <c r="C51" i="18"/>
  <c r="F51" i="18"/>
  <c r="H58" i="18"/>
  <c r="H13" i="33"/>
  <c r="F9" i="33" l="1"/>
  <c r="H51" i="18"/>
  <c r="F15" i="18"/>
  <c r="H15" i="18" s="1"/>
  <c r="C15" i="18" l="1"/>
  <c r="E16" i="27"/>
  <c r="C14" i="27"/>
  <c r="D14" i="27"/>
  <c r="D17" i="27" s="1"/>
  <c r="C17" i="27" l="1"/>
  <c r="E17" i="27" s="1"/>
  <c r="E14" i="27"/>
  <c r="G10" i="30" l="1"/>
  <c r="F26" i="18" l="1"/>
  <c r="H26" i="18" s="1"/>
  <c r="G14" i="33"/>
  <c r="G5" i="30"/>
  <c r="F21" i="18" l="1"/>
  <c r="H21" i="18" s="1"/>
  <c r="G9" i="33"/>
  <c r="G47" i="33" s="1"/>
  <c r="H14" i="33"/>
  <c r="F20" i="18" l="1"/>
  <c r="H20" i="18" s="1"/>
  <c r="H9" i="33"/>
  <c r="D63" i="18" l="1"/>
  <c r="D50" i="18" s="1"/>
  <c r="D94" i="18" s="1"/>
  <c r="D95" i="18" l="1"/>
  <c r="D96" i="18" s="1"/>
  <c r="D97" i="18" l="1"/>
  <c r="B22" i="33" l="1"/>
  <c r="B47" i="33" l="1"/>
  <c r="B53" i="33" l="1"/>
  <c r="C10" i="18" l="1"/>
  <c r="C18" i="18" l="1"/>
  <c r="F10" i="18"/>
  <c r="F18" i="18" l="1"/>
  <c r="H10" i="18"/>
  <c r="C48" i="18"/>
  <c r="H18" i="18" l="1"/>
  <c r="G49" i="33"/>
  <c r="F48" i="18"/>
  <c r="H48" i="18" s="1"/>
  <c r="H49" i="33" l="1"/>
  <c r="G53" i="33"/>
  <c r="D22" i="33" l="1"/>
  <c r="D47" i="33" l="1"/>
  <c r="D53" i="33" l="1"/>
  <c r="G9" i="60" l="1"/>
  <c r="E62" i="60" l="1"/>
  <c r="G62" i="60" l="1"/>
  <c r="G11" i="30" l="1"/>
  <c r="E43" i="30"/>
  <c r="G43" i="30" s="1"/>
  <c r="H51" i="30" l="1"/>
  <c r="H57" i="30" l="1"/>
  <c r="H58" i="30"/>
  <c r="E8" i="61"/>
  <c r="C23" i="33" l="1"/>
  <c r="E32" i="61"/>
  <c r="H59" i="30"/>
  <c r="G9" i="61"/>
  <c r="G8" i="61" l="1"/>
  <c r="C22" i="33"/>
  <c r="G32" i="61"/>
  <c r="C47" i="33" l="1"/>
  <c r="C53" i="33" l="1"/>
  <c r="E9" i="63"/>
  <c r="C64" i="18" s="1"/>
  <c r="F64" i="18" l="1"/>
  <c r="E23" i="33"/>
  <c r="G9" i="63"/>
  <c r="E8" i="63"/>
  <c r="F23" i="33" l="1"/>
  <c r="H23" i="33" s="1"/>
  <c r="H64" i="18"/>
  <c r="G8" i="63"/>
  <c r="B30" i="63"/>
  <c r="B31" i="63" s="1"/>
  <c r="B33" i="63" s="1"/>
  <c r="E30" i="63" l="1"/>
  <c r="B20" i="63" s="1"/>
  <c r="E20" i="63" s="1"/>
  <c r="E31" i="63"/>
  <c r="E29" i="63"/>
  <c r="E33" i="63" l="1"/>
  <c r="B17" i="63"/>
  <c r="E17" i="63" s="1"/>
  <c r="B22" i="63"/>
  <c r="E22" i="63" s="1"/>
  <c r="C35" i="63" s="1"/>
  <c r="F31" i="63"/>
  <c r="E19" i="63"/>
  <c r="G20" i="63"/>
  <c r="E21" i="63" l="1"/>
  <c r="G22" i="63"/>
  <c r="D35" i="63"/>
  <c r="E35" i="63" s="1"/>
  <c r="E16" i="63"/>
  <c r="G17" i="63"/>
  <c r="G19" i="63"/>
  <c r="C89" i="18"/>
  <c r="F89" i="18" s="1"/>
  <c r="H89" i="18" s="1"/>
  <c r="G16" i="63" l="1"/>
  <c r="E15" i="63"/>
  <c r="C88" i="18"/>
  <c r="C90" i="18"/>
  <c r="F90" i="18" s="1"/>
  <c r="H90" i="18" s="1"/>
  <c r="G21" i="63"/>
  <c r="G15" i="63" l="1"/>
  <c r="E42" i="33"/>
  <c r="E26" i="63"/>
  <c r="C87" i="18"/>
  <c r="C80" i="18" s="1"/>
  <c r="F88" i="18"/>
  <c r="E40" i="33" l="1"/>
  <c r="F42" i="33"/>
  <c r="H42" i="33" s="1"/>
  <c r="G26" i="63"/>
  <c r="F87" i="18"/>
  <c r="H88" i="18"/>
  <c r="H87" i="18" l="1"/>
  <c r="F80" i="18"/>
  <c r="F40" i="33"/>
  <c r="H40" i="33" s="1"/>
  <c r="H80" i="18" l="1"/>
  <c r="F16" i="62"/>
  <c r="F7" i="62" l="1"/>
  <c r="F19" i="62" s="1"/>
  <c r="B34" i="1" s="1"/>
  <c r="E28" i="33"/>
  <c r="C69" i="18"/>
  <c r="B35" i="1" l="1"/>
  <c r="C34" i="1"/>
  <c r="C63" i="18"/>
  <c r="C50" i="18" s="1"/>
  <c r="C94" i="18" s="1"/>
  <c r="F69" i="18"/>
  <c r="F28" i="33"/>
  <c r="H28" i="33" s="1"/>
  <c r="E22" i="33"/>
  <c r="H69" i="18" l="1"/>
  <c r="F63" i="18"/>
  <c r="C95" i="18"/>
  <c r="C96" i="18" s="1"/>
  <c r="E47" i="33"/>
  <c r="F22" i="33"/>
  <c r="H22" i="33" s="1"/>
  <c r="D34" i="1"/>
  <c r="D37" i="1" s="1"/>
  <c r="C97" i="18" l="1"/>
  <c r="F96" i="18"/>
  <c r="F50" i="18"/>
  <c r="H63" i="18"/>
  <c r="E53" i="33"/>
  <c r="F53" i="33" s="1"/>
  <c r="H53" i="33" s="1"/>
  <c r="F47" i="33"/>
  <c r="H47" i="33" s="1"/>
  <c r="F94" i="18" l="1"/>
  <c r="H50" i="18"/>
  <c r="H54" i="33"/>
  <c r="H96" i="18"/>
  <c r="F97" i="18"/>
  <c r="H55" i="33" l="1"/>
  <c r="I54" i="33" s="1"/>
  <c r="H94" i="18"/>
  <c r="F95" i="18"/>
  <c r="H95" i="18" s="1"/>
  <c r="I19" i="33" l="1"/>
  <c r="I11" i="33"/>
  <c r="I26" i="33"/>
  <c r="I23" i="33"/>
  <c r="I25" i="33"/>
  <c r="I37" i="33"/>
  <c r="I38" i="33"/>
  <c r="I10" i="33"/>
  <c r="I16" i="33"/>
  <c r="I17" i="33"/>
  <c r="I32" i="33"/>
  <c r="I33" i="33"/>
  <c r="I41" i="33"/>
  <c r="I12" i="33"/>
  <c r="I20" i="33"/>
  <c r="I13" i="33"/>
  <c r="I15" i="33"/>
  <c r="I30" i="33"/>
  <c r="I27" i="33"/>
  <c r="I18" i="33"/>
  <c r="I29" i="33"/>
  <c r="I34" i="33"/>
  <c r="I49" i="33"/>
  <c r="I35" i="33"/>
  <c r="I40" i="33"/>
  <c r="I14" i="33"/>
  <c r="I9" i="33"/>
  <c r="I24" i="33"/>
  <c r="I28" i="33"/>
  <c r="I22" i="33"/>
  <c r="I53" i="33"/>
  <c r="I55" i="33" s="1"/>
  <c r="I4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CONTROL PRESUPUESTAL</author>
  </authors>
  <commentList>
    <comment ref="M9" authorId="0" shapeId="0" xr:uid="{00000000-0006-0000-1400-000001000000}">
      <text>
        <r>
          <rPr>
            <b/>
            <sz val="9"/>
            <color indexed="81"/>
            <rFont val="Tahoma"/>
            <family val="2"/>
          </rPr>
          <t>CONTROL PRESUPUESTAL:</t>
        </r>
        <r>
          <rPr>
            <sz val="9"/>
            <color indexed="81"/>
            <rFont val="Tahoma"/>
            <family val="2"/>
          </rPr>
          <t xml:space="preserve">
la agencia</t>
        </r>
      </text>
    </comment>
    <comment ref="M11" authorId="0" shapeId="0" xr:uid="{00000000-0006-0000-1400-000002000000}">
      <text>
        <r>
          <rPr>
            <b/>
            <sz val="9"/>
            <color indexed="81"/>
            <rFont val="Tahoma"/>
            <family val="2"/>
          </rPr>
          <t>CONTROL PRESUPUESTAL:</t>
        </r>
        <r>
          <rPr>
            <sz val="9"/>
            <color indexed="81"/>
            <rFont val="Tahoma"/>
            <family val="2"/>
          </rPr>
          <t xml:space="preserve">
la agencia</t>
        </r>
      </text>
    </comment>
    <comment ref="M17" authorId="0" shapeId="0" xr:uid="{00000000-0006-0000-1400-000005000000}">
      <text>
        <r>
          <rPr>
            <b/>
            <sz val="9"/>
            <color indexed="81"/>
            <rFont val="Tahoma"/>
            <family val="2"/>
          </rPr>
          <t>CONTROL PRESUPUESTAL:</t>
        </r>
        <r>
          <rPr>
            <sz val="9"/>
            <color indexed="81"/>
            <rFont val="Tahoma"/>
            <family val="2"/>
          </rPr>
          <t xml:space="preserve">
la agencia</t>
        </r>
      </text>
    </comment>
    <comment ref="M18" authorId="0" shapeId="0" xr:uid="{00000000-0006-0000-1400-000006000000}">
      <text>
        <r>
          <rPr>
            <b/>
            <sz val="9"/>
            <color indexed="81"/>
            <rFont val="Tahoma"/>
            <family val="2"/>
          </rPr>
          <t>CONTROL PRESUPUESTAL:</t>
        </r>
        <r>
          <rPr>
            <sz val="9"/>
            <color indexed="81"/>
            <rFont val="Tahoma"/>
            <family val="2"/>
          </rPr>
          <t xml:space="preserve">
la imprenta</t>
        </r>
      </text>
    </comment>
    <comment ref="M21" authorId="0" shapeId="0" xr:uid="{00000000-0006-0000-1400-000007000000}">
      <text>
        <r>
          <rPr>
            <b/>
            <sz val="9"/>
            <color indexed="81"/>
            <rFont val="Tahoma"/>
            <family val="2"/>
          </rPr>
          <t>CONTROL PRESUPUESTAL:</t>
        </r>
        <r>
          <rPr>
            <sz val="9"/>
            <color indexed="81"/>
            <rFont val="Tahoma"/>
            <family val="2"/>
          </rPr>
          <t xml:space="preserve">
transporte de papa 
</t>
        </r>
      </text>
    </comment>
  </commentList>
</comments>
</file>

<file path=xl/sharedStrings.xml><?xml version="1.0" encoding="utf-8"?>
<sst xmlns="http://schemas.openxmlformats.org/spreadsheetml/2006/main" count="1604" uniqueCount="681">
  <si>
    <t>IPC</t>
  </si>
  <si>
    <t>SUELDO BASICO</t>
  </si>
  <si>
    <t>IBC INFORMATIVO</t>
  </si>
  <si>
    <t>SUELDO BASICO AÑO</t>
  </si>
  <si>
    <t>CESANTIAS</t>
  </si>
  <si>
    <t>INTERESES CESANTIAS</t>
  </si>
  <si>
    <t>PRIMA DE SERVICIOS</t>
  </si>
  <si>
    <t>VACACIONES</t>
  </si>
  <si>
    <t>PENSION</t>
  </si>
  <si>
    <t>SALUD</t>
  </si>
  <si>
    <t>ARL</t>
  </si>
  <si>
    <t>CAJA</t>
  </si>
  <si>
    <t>SENA</t>
  </si>
  <si>
    <t>ICBF</t>
  </si>
  <si>
    <t>GASTOS DE PERSONAL</t>
  </si>
  <si>
    <t>ASESOR DE RECAUDO ZONA 1</t>
  </si>
  <si>
    <t>ASESOR DE RECAUDO ZONA 2</t>
  </si>
  <si>
    <t>ASESOR DE RECAUDO ZONA 3</t>
  </si>
  <si>
    <t>ASESOR DE RECAUDO ZONA 4</t>
  </si>
  <si>
    <t>AÑO</t>
  </si>
  <si>
    <t>RECAUDO</t>
  </si>
  <si>
    <t>FUNCIONAMIENTO</t>
  </si>
  <si>
    <t>PRESTACIONES SOCIALES</t>
  </si>
  <si>
    <t>APORTES PARAFISCALES</t>
  </si>
  <si>
    <t>PERSONAL ADMINISTRATIVO</t>
  </si>
  <si>
    <t>PERSONAL DE CAMPO</t>
  </si>
  <si>
    <t>SISTEMATIZADORA CUOTA</t>
  </si>
  <si>
    <t>MESES</t>
  </si>
  <si>
    <t>TOTALES RECAUDO</t>
  </si>
  <si>
    <t>TOTALES FUNCIONAMIENTO</t>
  </si>
  <si>
    <t>Fondo Nacional de Fomento de la Papa</t>
  </si>
  <si>
    <t>Dirección Fondo Nacional de Fomento de la Papa</t>
  </si>
  <si>
    <t>Muebles, equipo de oficina y SW</t>
  </si>
  <si>
    <t>TOTAL</t>
  </si>
  <si>
    <t>Correo</t>
  </si>
  <si>
    <t>Viáticos y Gastos de viaje</t>
  </si>
  <si>
    <t>Capacitación y divulgación</t>
  </si>
  <si>
    <t xml:space="preserve">Materiales y suministros </t>
  </si>
  <si>
    <t>PRESUPUESTO DE GASTOS DE PERSONAL FONDO NACIONAL DE FOMENTO DE LA PAPA</t>
  </si>
  <si>
    <t>AUXILIO DE TRANSPORTE</t>
  </si>
  <si>
    <t>SUBSIDIO DE TRANSPORTE</t>
  </si>
  <si>
    <t>TRIMESTRE</t>
  </si>
  <si>
    <t>INTERESES GENERADOS</t>
  </si>
  <si>
    <t>Meta total Trimestre I</t>
  </si>
  <si>
    <t>Meta total Trimestre II</t>
  </si>
  <si>
    <t>Meta total Trimestre III</t>
  </si>
  <si>
    <t>Meta total Trimestre IV</t>
  </si>
  <si>
    <t>COORDINADOR RECAUDO</t>
  </si>
  <si>
    <t>ASESOR DE RECAUDO ZONA 5</t>
  </si>
  <si>
    <t>SERVICIOS PERSONALES</t>
  </si>
  <si>
    <t xml:space="preserve">Honorarios </t>
  </si>
  <si>
    <t>GASTOS GENERALES</t>
  </si>
  <si>
    <t>Cuota de Auditaje C.G.R.</t>
  </si>
  <si>
    <t>DIRECCION DE CADENAS AGRICOLAS Y FORESTALES</t>
  </si>
  <si>
    <t>PROGRAMA DE SEGUIMIENTO Y EVALUACION FONDOS PARAFISCALES</t>
  </si>
  <si>
    <t>FONDO NACIONAL DE FOMENTO DE LA PAPA</t>
  </si>
  <si>
    <t>CUENTAS</t>
  </si>
  <si>
    <t>APROP</t>
  </si>
  <si>
    <t>MODIF.</t>
  </si>
  <si>
    <t>TRASLADO</t>
  </si>
  <si>
    <t>INGRESOS OPERACIONALES</t>
  </si>
  <si>
    <t>Cuota de Fomento</t>
  </si>
  <si>
    <t>Intereses por Mora</t>
  </si>
  <si>
    <t>INGRESOS NO OPERACIONALES</t>
  </si>
  <si>
    <t>Otros Ingresos</t>
  </si>
  <si>
    <t>Ingresos Financieros</t>
  </si>
  <si>
    <t>TOTAL INGRESOS</t>
  </si>
  <si>
    <t>EGRESOS</t>
  </si>
  <si>
    <t>FUNCIONAMIENTO:</t>
  </si>
  <si>
    <t>Sueldos</t>
  </si>
  <si>
    <t>Vacaciones</t>
  </si>
  <si>
    <t>Prima legal</t>
  </si>
  <si>
    <t xml:space="preserve">Dotación y suministro </t>
  </si>
  <si>
    <t>Cesantías</t>
  </si>
  <si>
    <t>Intereses de cesantías</t>
  </si>
  <si>
    <t>Seguros y/o fondos privados</t>
  </si>
  <si>
    <t>Caja de compensación</t>
  </si>
  <si>
    <t>Aportes ICBF y SENA</t>
  </si>
  <si>
    <t>Dotaciones</t>
  </si>
  <si>
    <t>Servicios públicos</t>
  </si>
  <si>
    <t>Impresos y publicaciones</t>
  </si>
  <si>
    <t>Transportes fletes y acarreos</t>
  </si>
  <si>
    <t>Comisiones y gastos bancarios</t>
  </si>
  <si>
    <t xml:space="preserve">Arriendos </t>
  </si>
  <si>
    <t>Gastos Junta Directiva</t>
  </si>
  <si>
    <t xml:space="preserve">Contraprestación </t>
  </si>
  <si>
    <t>ESTUDIOS Y PROYECTOS</t>
  </si>
  <si>
    <t>Nombre programa</t>
  </si>
  <si>
    <t>PROGRAMA 3</t>
  </si>
  <si>
    <t>RESERVA PROY. INV. Y GT.</t>
  </si>
  <si>
    <t>TOTAL PRESUPUESTO</t>
  </si>
  <si>
    <t>Cifra de control</t>
  </si>
  <si>
    <t>%</t>
  </si>
  <si>
    <t>VALOR</t>
  </si>
  <si>
    <t>INDICADOR</t>
  </si>
  <si>
    <t>DOTACION</t>
  </si>
  <si>
    <t>Compra de semillas</t>
  </si>
  <si>
    <t>Auxilio de Transporte</t>
  </si>
  <si>
    <t>MINISTERIO DE AGRICULTURA Y DESARROLLO RURAL</t>
  </si>
  <si>
    <t>ANEXO Nº 1</t>
  </si>
  <si>
    <t>FORMATO N° 1</t>
  </si>
  <si>
    <t>AUMENTO SMLV</t>
  </si>
  <si>
    <t xml:space="preserve">VARIACION % </t>
  </si>
  <si>
    <t>DOTACION ANUAL DE LEY AUXILIAR</t>
  </si>
  <si>
    <t>PROFESIONAL CONTROL PRESUPUESTAL</t>
  </si>
  <si>
    <t>PROFESIONAL SISTEMA INFORMACION</t>
  </si>
  <si>
    <t xml:space="preserve">Compra base de datos </t>
  </si>
  <si>
    <t>Transferencia de tecnología</t>
  </si>
  <si>
    <t>Análisis de suelos</t>
  </si>
  <si>
    <t>Superávit Vigencias anteriores</t>
  </si>
  <si>
    <t>INICIO</t>
  </si>
  <si>
    <t xml:space="preserve">FINALIZACION </t>
  </si>
  <si>
    <t>DIAS LABORADOS</t>
  </si>
  <si>
    <t>FONDO NACIONAL DE FOMENTO DE LA PAPA - FNFP</t>
  </si>
  <si>
    <t>DIRECCIÓN FONDO NACIONAL DE FOMENTO DE LA PAPA</t>
  </si>
  <si>
    <t>ENERO</t>
  </si>
  <si>
    <t>FEBRERO</t>
  </si>
  <si>
    <t>MARZO</t>
  </si>
  <si>
    <t>ABRIL</t>
  </si>
  <si>
    <t>MAYO</t>
  </si>
  <si>
    <t>JUNIO</t>
  </si>
  <si>
    <t>JULIO</t>
  </si>
  <si>
    <t>AGOSTO</t>
  </si>
  <si>
    <t>Ingresos Vigencia 2016</t>
  </si>
  <si>
    <t>TRIMESTRE I</t>
  </si>
  <si>
    <t>TRIMESTRE II</t>
  </si>
  <si>
    <t>TRIMESTRE III</t>
  </si>
  <si>
    <t>TRIMESTRE IV</t>
  </si>
  <si>
    <t>RECAUDO ESPERADO 0</t>
  </si>
  <si>
    <t>RECAUDO TRIMESTRAL</t>
  </si>
  <si>
    <t>PARTICIPACION PORCENTUAL</t>
  </si>
  <si>
    <t>SEPTIEMBRE *</t>
  </si>
  <si>
    <t>ITEM</t>
  </si>
  <si>
    <t>CANTIDAD</t>
  </si>
  <si>
    <t>Nómina</t>
  </si>
  <si>
    <t>Dotación</t>
  </si>
  <si>
    <t>MUEBLES, EQUIPO Y SW</t>
  </si>
  <si>
    <t>MATERIALES Y SUMINISTROS</t>
  </si>
  <si>
    <t>Papelería</t>
  </si>
  <si>
    <t>SERVICIOS PÚBLICOS</t>
  </si>
  <si>
    <t>Teléfono e internet</t>
  </si>
  <si>
    <t>Línea de celular</t>
  </si>
  <si>
    <t>Agua y Luz</t>
  </si>
  <si>
    <t>ARRIENDOS</t>
  </si>
  <si>
    <t>CORREO</t>
  </si>
  <si>
    <t>VIÁTICOS Y GASTOS DE VIAJE</t>
  </si>
  <si>
    <t>Tiquetes aéreos</t>
  </si>
  <si>
    <t>Viáticos</t>
  </si>
  <si>
    <t>Auxilios de movilización</t>
  </si>
  <si>
    <t>Hoteles</t>
  </si>
  <si>
    <t>Alimentación</t>
  </si>
  <si>
    <t>COMISIONES Y GASTOS BANCARIOS</t>
  </si>
  <si>
    <t>TRANSPORTES, FLETES Y ACARREOS</t>
  </si>
  <si>
    <t>Honorarios auditoria</t>
  </si>
  <si>
    <t>CUOTA AUDITAJE C.G.R.</t>
  </si>
  <si>
    <t>DIRECTOR DE PROYECTOS</t>
  </si>
  <si>
    <t>Transporte terrestre</t>
  </si>
  <si>
    <t>Elaboración agendas</t>
  </si>
  <si>
    <t>ANEXO Nº 2</t>
  </si>
  <si>
    <t>PROGRAMA</t>
  </si>
  <si>
    <t>Estudios Económicos</t>
  </si>
  <si>
    <t>Investigación y Transferencia de Tecnología</t>
  </si>
  <si>
    <t>PART.</t>
  </si>
  <si>
    <t>PROYECTO Nº 3</t>
  </si>
  <si>
    <t>PROYECTO Nº 4</t>
  </si>
  <si>
    <t>PROYECTO Nº 5</t>
  </si>
  <si>
    <t>SUBTOTAL GASTOS</t>
  </si>
  <si>
    <t>SERVICIO DE LA DEUDA</t>
  </si>
  <si>
    <t>SUBTOTAL PRESUPUESTO</t>
  </si>
  <si>
    <t>RESERVA PARA FUTURAS INV. Y GASTOS</t>
  </si>
  <si>
    <t xml:space="preserve">TOTAL PRESUPUESTO </t>
  </si>
  <si>
    <t>Tiquetes</t>
  </si>
  <si>
    <t>TOTAL GASTOS DE PERSONAL</t>
  </si>
  <si>
    <t>EXTENSIONISTAS 1</t>
  </si>
  <si>
    <t>Apoyo de desplazamiento</t>
  </si>
  <si>
    <t>4*1000</t>
  </si>
  <si>
    <t>mas comisiones y otros gastos bancarios</t>
  </si>
  <si>
    <t>https://www.superfinanciera.gov.co/reportes/</t>
  </si>
  <si>
    <t>PRESUP</t>
  </si>
  <si>
    <t>PRESUP DEF</t>
  </si>
  <si>
    <t>VARIACIÓN</t>
  </si>
  <si>
    <t>VLR TOTAL 2017</t>
  </si>
  <si>
    <t>JUSTIFICACIÓN</t>
  </si>
  <si>
    <t>VLR UNITARIO</t>
  </si>
  <si>
    <t xml:space="preserve">VARIACIÓN </t>
  </si>
  <si>
    <t xml:space="preserve">JUSTIFICACIÓN </t>
  </si>
  <si>
    <t>TOTALES ASISTENCIA TÉCNICA</t>
  </si>
  <si>
    <t>Divulgación</t>
  </si>
  <si>
    <t>UND MEDIDA</t>
  </si>
  <si>
    <t>Meses</t>
  </si>
  <si>
    <t>PASANTE SENA</t>
  </si>
  <si>
    <t>Nómina Sistematizador Cuota de Fomento</t>
  </si>
  <si>
    <t>Uniformes por año</t>
  </si>
  <si>
    <t>ASISTENTE DE PROYECTO</t>
  </si>
  <si>
    <t>Unidad</t>
  </si>
  <si>
    <t>ASISTENTE DE RECAUDO</t>
  </si>
  <si>
    <t>Unidades</t>
  </si>
  <si>
    <t>GASTOS DE FUNCIONAMIENTO</t>
  </si>
  <si>
    <t>Auditoría</t>
  </si>
  <si>
    <t>Comercialización</t>
  </si>
  <si>
    <t>Nómina Gestión Documental</t>
  </si>
  <si>
    <t>Cuota de Fomento vigencias anteriores</t>
  </si>
  <si>
    <t>DISEÑADOR</t>
  </si>
  <si>
    <t>COMERCIALIZACION Y MERCADEO</t>
  </si>
  <si>
    <t>DIRECTOR DE MERCADEO</t>
  </si>
  <si>
    <t>TOTALES MERCADEO</t>
  </si>
  <si>
    <t>VLR TOTAL 2018</t>
  </si>
  <si>
    <t>AÑO 2018</t>
  </si>
  <si>
    <t>Cuota de Fomento Vigencias Anteriores</t>
  </si>
  <si>
    <t>% INCREMENTO</t>
  </si>
  <si>
    <t>PRESUPUESTO AÑO 2018</t>
  </si>
  <si>
    <t>Pagos 2018</t>
  </si>
  <si>
    <t>ÍTEM</t>
  </si>
  <si>
    <t>UNIDADES</t>
  </si>
  <si>
    <t>Sitio reunión medios audiovisuales</t>
  </si>
  <si>
    <t>Seguros de activos fijos</t>
  </si>
  <si>
    <t>Este rubro no presenta incremento para esta vigencia se contempla que este valor cumple con las necesidades de los requerimientos del proyecto.</t>
  </si>
  <si>
    <t>Personas</t>
  </si>
  <si>
    <t>ASESOR DE RECAUDO ZONA 6</t>
  </si>
  <si>
    <t xml:space="preserve">TOTAL  FUNCIONAMIENTO </t>
  </si>
  <si>
    <t>TOTAL  INVERSION</t>
  </si>
  <si>
    <t>TOTAL  NOMINA  FONDO</t>
  </si>
  <si>
    <t>Portátiles</t>
  </si>
  <si>
    <t>DESCRIPCIÓN</t>
  </si>
  <si>
    <t>Kits</t>
  </si>
  <si>
    <t>Licencias</t>
  </si>
  <si>
    <t>Recaudo</t>
  </si>
  <si>
    <t>Servicio</t>
  </si>
  <si>
    <t>CAPACITACION Y DIVULGACION</t>
  </si>
  <si>
    <t>ATL</t>
  </si>
  <si>
    <t>BTL</t>
  </si>
  <si>
    <t xml:space="preserve">VLR              UNITARIO </t>
  </si>
  <si>
    <t>Digital</t>
  </si>
  <si>
    <t>ZONA 2</t>
  </si>
  <si>
    <t>ZONA 3</t>
  </si>
  <si>
    <t>ZONA 4</t>
  </si>
  <si>
    <t>ZONA 5</t>
  </si>
  <si>
    <t>ZONA 6</t>
  </si>
  <si>
    <t>Fortalecimiento Empresarial</t>
  </si>
  <si>
    <t xml:space="preserve">VIATICOS Y GASTOS DE VIAJE </t>
  </si>
  <si>
    <t xml:space="preserve">Viáticos  </t>
  </si>
  <si>
    <t>Paquete publicitario para asociaciones</t>
  </si>
  <si>
    <t>Asociaciones</t>
  </si>
  <si>
    <t>Se requiere la compra de Brochure, tarjetas de presentación, carpetas y demás material necesario para marketing y mercadeo de cada asociación.</t>
  </si>
  <si>
    <t>Honorarios (2 Asesores x 4 Asociaciones)</t>
  </si>
  <si>
    <t xml:space="preserve"> 4paquetes públicitarios para asociaciones</t>
  </si>
  <si>
    <t>Se requiere la contratación de 2 consultores para procesos formación técnica en Emprendimiento y Mercadeo para 4 asociaciones. Se presenta disminucion ya que se contempla la continuidad del proyecto con 4 asociaciones.</t>
  </si>
  <si>
    <t>PRESUPUESTO DE GASTOS PARA ASOCIATIVIDAD VIGENCIA 2018</t>
  </si>
  <si>
    <t>Se requiere el pago de viáticos para 40 visitas en dos regiones para 2 consultores por concepto de seguimiento a Asociaciones por valor de $300.000.</t>
  </si>
  <si>
    <t>Honorarios normas internacionales</t>
  </si>
  <si>
    <t>MES</t>
  </si>
  <si>
    <t>SEPTIEMBRE</t>
  </si>
  <si>
    <t>OCTUBRE</t>
  </si>
  <si>
    <t>NOVIEMBRE</t>
  </si>
  <si>
    <t>DICIEMBRE</t>
  </si>
  <si>
    <t>Tasa EA</t>
  </si>
  <si>
    <t>Tasa EM</t>
  </si>
  <si>
    <t>CDT</t>
  </si>
  <si>
    <t xml:space="preserve"> 5 ruedas de negocios para 2 asociaciones antiguas</t>
  </si>
  <si>
    <t>Se requiere la realizacion de 5 ruedas de negocios para 2 asociaciones que continuaron de la vigencia 2017.</t>
  </si>
  <si>
    <t xml:space="preserve">% PARTICIPACIÓN </t>
  </si>
  <si>
    <t>ZONAS</t>
  </si>
  <si>
    <t>ZONA 1</t>
  </si>
  <si>
    <t>OK</t>
  </si>
  <si>
    <t>VALIDACION DE INCREMENTO</t>
  </si>
  <si>
    <t>CUADRO CONTROL DE APROPIACION  2019</t>
  </si>
  <si>
    <t>VARIACION 2019 VS 2018</t>
  </si>
  <si>
    <t>AÑO 2019</t>
  </si>
  <si>
    <t>2019 VS 2018</t>
  </si>
  <si>
    <t>PRESUPUESTO DE INGRESOS VIGENCIA 2019</t>
  </si>
  <si>
    <t>PRESUPUESTO AÑO 2019</t>
  </si>
  <si>
    <t>PROYECCIÓN META RECAUDO 2019</t>
  </si>
  <si>
    <t>CALCULO DE INTERESES DE MORA
VIGENCIA 2019</t>
  </si>
  <si>
    <t>Presupuesto de gastos  Vigencia 2019</t>
  </si>
  <si>
    <t>VLR TOTAL 2019</t>
  </si>
  <si>
    <t>2019</t>
  </si>
  <si>
    <t>PRESUPUESTADO AÑO 2019</t>
  </si>
  <si>
    <t>JUNTA DIRECTIVA</t>
  </si>
  <si>
    <t>Junta directiva</t>
  </si>
  <si>
    <t xml:space="preserve">Convocatoria y selección junta directiva </t>
  </si>
  <si>
    <t>Pauta radial</t>
  </si>
  <si>
    <t>Reuniones</t>
  </si>
  <si>
    <t>Pauta</t>
  </si>
  <si>
    <t>Proyectado 2018</t>
  </si>
  <si>
    <t>Diferencia</t>
  </si>
  <si>
    <t>META 2019</t>
  </si>
  <si>
    <t>PROYECTADA 2018</t>
  </si>
  <si>
    <t>INDUSTRIA</t>
  </si>
  <si>
    <t>FRUVER</t>
  </si>
  <si>
    <t>GRANDES SUPERFICIES</t>
  </si>
  <si>
    <t>PLAZAS DE MERCADO</t>
  </si>
  <si>
    <t>HORECA</t>
  </si>
  <si>
    <t>SEMILLERISTA</t>
  </si>
  <si>
    <t>INTERESES</t>
  </si>
  <si>
    <t>Vigencia anterior</t>
  </si>
  <si>
    <t>HECTÁREAS (has)</t>
  </si>
  <si>
    <t>TONELADAS (ton/ha)</t>
  </si>
  <si>
    <t>PESOS/TONELADAS ($/ton)</t>
  </si>
  <si>
    <t>PESOS ($)</t>
  </si>
  <si>
    <t>PORCENTAJE (%)</t>
  </si>
  <si>
    <t>Recaudo Septiembre 2018</t>
  </si>
  <si>
    <t>Presupuestado Oct - Dic 2018</t>
  </si>
  <si>
    <t>Presupuestado  2018</t>
  </si>
  <si>
    <t>% Variación Pro-Pre 2018</t>
  </si>
  <si>
    <t>Presupuestado Sep - Dic 2018</t>
  </si>
  <si>
    <t>CANAL</t>
  </si>
  <si>
    <t>SUPUESTOS INGRESOS RECAUDO</t>
  </si>
  <si>
    <t>Nota: Cálculo realizado de cuerdo con el recaudo de intereses del año 2017 y 2018.</t>
  </si>
  <si>
    <t>Honorarios jurídico</t>
  </si>
  <si>
    <t>Valor por año</t>
  </si>
  <si>
    <t>Software</t>
  </si>
  <si>
    <t>Disco duro externo 2tb</t>
  </si>
  <si>
    <t>Aplicativo para diligenciamiento de actas de visita</t>
  </si>
  <si>
    <t>Tablet</t>
  </si>
  <si>
    <t>Póliza</t>
  </si>
  <si>
    <t>Antivirus - Licencias</t>
  </si>
  <si>
    <t>Memoria RAM equipos de computo</t>
  </si>
  <si>
    <t>Para la vigencia 2019 no se requiere este rubro.</t>
  </si>
  <si>
    <t>MANTENIMIENTO</t>
  </si>
  <si>
    <t>Cartilla guía</t>
  </si>
  <si>
    <t>Material divulgativo para agricultores  y compradores de papa.</t>
  </si>
  <si>
    <t>Talonario actas de visita</t>
  </si>
  <si>
    <t>Servicio de envío y recepción de correspondencia y documentos del Fondo x 12 meses. Se presenta incremento mayor al IPC ya que se requiere mayor envío de comunicados a los recaudadores para lograr el correcto pago de la cuota de fomento.</t>
  </si>
  <si>
    <t>Viajes</t>
  </si>
  <si>
    <t>Auxilios</t>
  </si>
  <si>
    <t>Capacitación Asesores</t>
  </si>
  <si>
    <t>Divulgación técnica</t>
  </si>
  <si>
    <t>Divulgación de información del fondo para agricultores y compradores de papa y empresas que participen en la cadena de comercialización papa</t>
  </si>
  <si>
    <t>Divulgación del proyecto</t>
  </si>
  <si>
    <t>Eventos de divulgación</t>
  </si>
  <si>
    <t>Elementos de identificación personal</t>
  </si>
  <si>
    <t>Se requiere el envío de material publicitario a algunas zonas del país, así como el pago de transportes para las personas que requieran desplazarse cuando se requiera visitas a recaudadores. Este rubro no presenta incremento para esta vigencia, se contempla que el valor cumple con las necesidades de los requerimientos del proyecto.</t>
  </si>
  <si>
    <t>SEGUROS, IMPUESTOS Y GASTOS LEGALES</t>
  </si>
  <si>
    <t>Se requiere la compra de cámaras de comercio, para la identificación de recaudadores nuevos y/o renuentes que se requiera en las distintas zonas del país. Este rubro no presenta incremento para esta vigencia se contempla que el valor cumple con las necesidades de los requerimientos del proyecto.</t>
  </si>
  <si>
    <t>Kit de limpieza de equipos</t>
  </si>
  <si>
    <t>Se requiere realizar el mantenimiento de los equipos del área de esta manera se solicita el kit para el área de sistemas para realizar la actividad de mantenimiento. Este rubro no se encontraba discriminado la vigencia anterior.</t>
  </si>
  <si>
    <t>Mantenimiento y/o repuestos equipos fijos y portátiles</t>
  </si>
  <si>
    <t>Compra UPS</t>
  </si>
  <si>
    <t>UPS</t>
  </si>
  <si>
    <t>Se requiere la compra de dos UPS para los cargos de Sistematizador cuota de fomento y Gestion documental. Este rubro estaba contemplado en la vigencia anterior.</t>
  </si>
  <si>
    <t>Alojamiento</t>
  </si>
  <si>
    <t>UNIDAD</t>
  </si>
  <si>
    <t xml:space="preserve">Economista de Sistemas de Información </t>
  </si>
  <si>
    <t xml:space="preserve">Pasante de Sistemas de Información </t>
  </si>
  <si>
    <t>Licencia Equipo</t>
  </si>
  <si>
    <t>Antivirus</t>
  </si>
  <si>
    <t>Memoria Ram</t>
  </si>
  <si>
    <t>Memoria</t>
  </si>
  <si>
    <t>Se requiere la compra de Memoria RAM para la ampliación de capacidad de almacenamiento y velocidad del equipo principal del área económica. No se contaba con este rubro en 2018</t>
  </si>
  <si>
    <t xml:space="preserve">Viáticos </t>
  </si>
  <si>
    <t>IMPRESOS Y PUBLICACIONES</t>
  </si>
  <si>
    <t xml:space="preserve">Cartilla costos de producción de la papa en Colombia </t>
  </si>
  <si>
    <t>Se requiere la impresión de 1.000 Cartillas informativas, sobre costos de producción de la papa en Colombia, como herramienta de divulgación del proyecto Sistemas de Información. No se contaba con este rubro en 2018.</t>
  </si>
  <si>
    <t>Antivirus - Licencia</t>
  </si>
  <si>
    <t>Se requiere la compra de Antivirus para la protección y buen funcionamiento de los equipos del área económica. Para la vigencia 2018 no se contemplo esta compra.</t>
  </si>
  <si>
    <t>Disco duro 2 TB almacenamiento</t>
  </si>
  <si>
    <t>Disco duro</t>
  </si>
  <si>
    <t>VR UNITARIO</t>
  </si>
  <si>
    <t>DÍAS EVENTO</t>
  </si>
  <si>
    <t>VR TOTAL 2019</t>
  </si>
  <si>
    <t>Honorarios chef</t>
  </si>
  <si>
    <t>Días</t>
  </si>
  <si>
    <t>Mobiliario - estructura stand</t>
  </si>
  <si>
    <t>Mobiliario</t>
  </si>
  <si>
    <t>Desarrollo interactivo</t>
  </si>
  <si>
    <t>Logística</t>
  </si>
  <si>
    <t>Insumos preparaciones chef</t>
  </si>
  <si>
    <t>Insumos degustaciones</t>
  </si>
  <si>
    <t>Metros cuadrados</t>
  </si>
  <si>
    <t>Transporte de material dentro del perímetro urbano para el montaje y desmontaje del material.</t>
  </si>
  <si>
    <t xml:space="preserve">Participación en la feria </t>
  </si>
  <si>
    <t>Se requiere contar con una actividad dinámica publicitaria de recordación.</t>
  </si>
  <si>
    <t>PROMOCIÓN Y DIVULGACIÓN DEL FNFP A TRAVÉS DE AGROEXPO VIGENCIA 2019</t>
  </si>
  <si>
    <t>VLR               UNITARIO</t>
  </si>
  <si>
    <t>VLR TOTAL  2018</t>
  </si>
  <si>
    <t>Nómina Director del Proyecto</t>
  </si>
  <si>
    <t>Nómina Diseñador</t>
  </si>
  <si>
    <t>MUEBLES, ENSERES Y SW</t>
  </si>
  <si>
    <t>Licencia Office</t>
  </si>
  <si>
    <t>Licencia</t>
  </si>
  <si>
    <t>Licencia Adobe</t>
  </si>
  <si>
    <t>TRANSPORTE, FLETES Y ACARREOS</t>
  </si>
  <si>
    <t xml:space="preserve">Transportes, fletes y acarreo </t>
  </si>
  <si>
    <t xml:space="preserve">Compra de medios </t>
  </si>
  <si>
    <t>Activaciones BTL</t>
  </si>
  <si>
    <t>DIGITAL</t>
  </si>
  <si>
    <t>Inversión digital</t>
  </si>
  <si>
    <t>Renovación dominio preparalapapa</t>
  </si>
  <si>
    <t>Creativo digital</t>
  </si>
  <si>
    <t xml:space="preserve">NOMINA </t>
  </si>
  <si>
    <t>TOTAL GASTO</t>
  </si>
  <si>
    <t xml:space="preserve">PRESUPUESTO TOTAL </t>
  </si>
  <si>
    <t>CREATIVO DIGITAL</t>
  </si>
  <si>
    <t>Licencia de office 365</t>
  </si>
  <si>
    <t>*</t>
  </si>
  <si>
    <t>VLR             UNITARIO</t>
  </si>
  <si>
    <t>VLR TOTAL           2019</t>
  </si>
  <si>
    <t>Nómina Coordinadores Regionales</t>
  </si>
  <si>
    <t>2 coordinadores X 11 meses</t>
  </si>
  <si>
    <t>Nómina Extensionistas</t>
  </si>
  <si>
    <t>Nómina Asistente</t>
  </si>
  <si>
    <t>Honorarios Interventor</t>
  </si>
  <si>
    <t xml:space="preserve">Honorarios Especialistas </t>
  </si>
  <si>
    <t>Honorarios Apoyo Consejo de la Papa</t>
  </si>
  <si>
    <t>Mes</t>
  </si>
  <si>
    <t>Capacitaciones Agricultores</t>
  </si>
  <si>
    <t>Capacitaciones agricultores</t>
  </si>
  <si>
    <t>Dia de campo</t>
  </si>
  <si>
    <t>Capacitación a extensionistas</t>
  </si>
  <si>
    <t>Capacitación al año</t>
  </si>
  <si>
    <t>Divulgación Proyecto</t>
  </si>
  <si>
    <t>Vallas Lotes Demostrativos</t>
  </si>
  <si>
    <t>Vallas Publicitarias</t>
  </si>
  <si>
    <t>Chaquetas y gorras</t>
  </si>
  <si>
    <t>Paquete</t>
  </si>
  <si>
    <t>Equipos</t>
  </si>
  <si>
    <t>Viajes Director e Interventoría</t>
  </si>
  <si>
    <t>Auxilios de Movilización Coordinadores Regionales</t>
  </si>
  <si>
    <t>Auxilios de Movilización Extensionistas</t>
  </si>
  <si>
    <t>Actas de visita</t>
  </si>
  <si>
    <t xml:space="preserve">Manual del cultivo de papa </t>
  </si>
  <si>
    <t>Manuales</t>
  </si>
  <si>
    <t>Semillas (Básicas, Registradas, certificada o de calidad declarada)</t>
  </si>
  <si>
    <t>Bultos</t>
  </si>
  <si>
    <t>Muestras</t>
  </si>
  <si>
    <t>Análisis de suelo</t>
  </si>
  <si>
    <t>Este rubro no se requiere para la vigencia 2019.</t>
  </si>
  <si>
    <t>Capacitación anual</t>
  </si>
  <si>
    <t>Se requiere la compra del antivirus para los computadores del Director de proyectos y Asistente de proyectos. Este rubro no se contemplo la vigencia anterior.</t>
  </si>
  <si>
    <t>Memoria RAM</t>
  </si>
  <si>
    <t>Memorias</t>
  </si>
  <si>
    <t>PRESUPUESTO DE GASTOS PARA FUNCIONAMIENTO 2019</t>
  </si>
  <si>
    <t>Kit de limpieza de equipos e impresora</t>
  </si>
  <si>
    <t>PRESUPUESTO DE GASTOS PARA SISTEMATIZACIÓN Y CONTROL A LA EVASIÓN Y ELUSIÓN DE LA CUOTA DE FOMENTO VIGENCIA 2019</t>
  </si>
  <si>
    <t>Mantenimiento</t>
  </si>
  <si>
    <t>Seguros, impuestos y gastos legales</t>
  </si>
  <si>
    <t>Nota: El valor de vigencia anterior corresponde al valor de las consignaciones sin identificar de la vigencia 2016, 2017 y 2018.</t>
  </si>
  <si>
    <t>COMPRA BASE DE DATOS</t>
  </si>
  <si>
    <t>DOTACIONES</t>
  </si>
  <si>
    <t>ASESOR DE RECAUDO ZONA 7</t>
  </si>
  <si>
    <t>ASESOR DE RECAUDO ZONA 8</t>
  </si>
  <si>
    <t>ITPA</t>
  </si>
  <si>
    <t>SISTEMAS DE INFORMACION</t>
  </si>
  <si>
    <t>TOTALES SISTEMAS DE INFORMACION</t>
  </si>
  <si>
    <t>ZONA 7</t>
  </si>
  <si>
    <t>ZONA 8</t>
  </si>
  <si>
    <t>Pc Fijos.</t>
  </si>
  <si>
    <t>Escritorios y sillas.</t>
  </si>
  <si>
    <t>Licencias vitalicias.</t>
  </si>
  <si>
    <t>Plan datos y voz</t>
  </si>
  <si>
    <t>Servicio de internet + teléfono. Costo por 9 meses. El incremento del 3,5% es del IPC esperado.</t>
  </si>
  <si>
    <t>Se requiere 8 planes de datos y voz x 12 meses para la implementación de Empresa en línea y el seguimiento a los recaudadores de la cuota de fomento. Este rubro no estaba contemplado en la vigencia anterior.</t>
  </si>
  <si>
    <t>Se requiere servicio de agua y luz durante 9 meses. El incremento del 3,5% es del IPC esperado.</t>
  </si>
  <si>
    <t xml:space="preserve">La compra de elementos de identificación de personal en campo se incluye dentro del rubro de divulgación para la vigencia 2019. </t>
  </si>
  <si>
    <t>Se requiere tiquete aéreo correspondiente a viajes de verificación y supervisión zonas de recaudo se plantea 10 viajes para coordinador de recaudo, 5 viajes para director del FNFP, 2 viajes para auditoría interna del FNFP y 4 viajes de asesores de recaudo a zonas de recaudo.</t>
  </si>
  <si>
    <t>Se requieren 8 auxilios mensuales (1 por asesor) NO legalizables por valor de $573.248/mes para los 8 asesores, sujeto a cumplimiento de meta de visitas mensuales. Se realiza incremento del 3,5% del IPC esperado. Frente a la vigencia anterior la variación es del 44,2% debido al ingreso de los dos asesores nuevos.</t>
  </si>
  <si>
    <t>Para la vigencia 2019, este rubro se reemplaza por Seguros, Impuestos y Gastos legales.</t>
  </si>
  <si>
    <t>IPC 3,5% Y MINIMO 4%</t>
  </si>
  <si>
    <t>20 Extensionistas X 10 meses</t>
  </si>
  <si>
    <t>Honorarios extensionistas OPS</t>
  </si>
  <si>
    <t>CAPACITACIÓN</t>
  </si>
  <si>
    <t>DIVULGACIÓN</t>
  </si>
  <si>
    <t>Se requiere la contratación de un Director del Proyecto por 12 meses. Perfil del profesional (Experiencia mínima de 4 años en sector productivo papa)  con responsabilidad de recursos y de personal. Se presenta un incremento del 3,5% correspondiente al IPC proyectado.</t>
  </si>
  <si>
    <t>Se requiere dotación para el Asistente del proyecto, correspondiente a lo estipulado por la ley, 3 dotaciones de $227.855 al año. Presenta un incremento del 3,5% del IPC proyectado.</t>
  </si>
  <si>
    <t>Para la vigencia 2019 no se requiere este rubro ya que la capacitación se realizará en Bogotá.</t>
  </si>
  <si>
    <t>Se requiere la contratación de 24 extensionistas por OPS durante 45 días, para la consecución de los productores beneficiarios del proyecto contribuyentes de la cuota de fomento.</t>
  </si>
  <si>
    <t>Se requiere el pago servicios profesionales de Auditoria Interna por 12 meses. Presentándose un incremento del 3,5% del IPC proyectado para la vigencia 2019. A partir del segundo trimestre de la vigencia 2018 se presenta el cambio de auditoria.</t>
  </si>
  <si>
    <t>Se requiere los servicios de agua y luz durante 3 meses. Presentándose un incremento del 3,5% del IPC esperado. (Anexo Supuestos Gastos)</t>
  </si>
  <si>
    <t>Se requiere realizar pauta radial con el fin de divulgar la normatividad del FNFP y el proceso de selección de junta directiva que adelanta el fondo a todos los interesados en participar. No se contaba con este rubro la vigencia anterior.</t>
  </si>
  <si>
    <t>Se requieren dar continuidad al proceso de representación judicial frente a la acción de rendición de cuentas adelanta ante Asohofrucol para el traslado de recursos pendiente por parte de esta entidad al FNFP. Presenta una disminución del 25% teniendo en cuenta la forma de pago pactada en el contrato de prestación de servicios.</t>
  </si>
  <si>
    <t>Se requiere el pago de elementos o eventos que permitan la divulgación de información en las diferentes zonas de recaudo del país. El incremento del 3,5% es del IPC esperado.</t>
  </si>
  <si>
    <t>Se requieren 9 Kits, conformado por 3 camisas, 1 camiseta tipo polo y 2 chaquetas para los asesores de recaudo y el coordinador de recaudo que permitan su correcta identificación en el momento de realizar las visitas de seguimiento y dos maletas para los 2 nuevos asesores. Presenta un incremento del 55% teniendo en cuenta la cantidad de los elementos del kit y el ingreso de 2 asesores de recaudo. Este rubro se manejaba en la vigencia anterior como Dotaciones.</t>
  </si>
  <si>
    <t>Se presenta un disminución del 73%, teniendo en cuenta un cambio en la estrategia de divulgación de la vigencia anterior, ya que no es necesario contar con eventos trimestrales por asesor, si no por el contrario realizar capacitaciones acordes a los requerimientos de los recaudadores y/o productores, así de esta manera socializar sobre la cuota de fomento, el correcto pago y su inversión.</t>
  </si>
  <si>
    <t>Se requiere el alojamiento para equipo de trabajo durante la capacitación nacional. Estadía por 4 días para 5 asesores. El incremento del 3,5% es del IPC esperado. Se realiza una sola capacitación en el año, pero se requiere estadía par los 2 nuevos asesores.</t>
  </si>
  <si>
    <t>Se requiere el pago de transporte terrestre para funcionarios del Fondo durante la capacitación nacional.</t>
  </si>
  <si>
    <t>Este rubro no es requerido debido a que la capacitación nacional se realizará en las oficinas de la Federación.</t>
  </si>
  <si>
    <t>MERCADEO</t>
  </si>
  <si>
    <t>Se requiere un software especializado para recaudo, que permita la sistematización de la cuota de fomento.</t>
  </si>
  <si>
    <t>Se requiere disco externo para generar copias de seguridad de la información del recaudo de cuota de fomento.</t>
  </si>
  <si>
    <t>Se requieren 8 licencias x 12 meses para la aplicación Empresa en línea, que permita el diligenciamiento de actas de visita en línea y evitar el uso de papelería física.</t>
  </si>
  <si>
    <t>Se requiere Tablet para cada asesor de recaudo que permita la implementación de Empresa en línea.</t>
  </si>
  <si>
    <t>Se requiere realizar compra de memoria RAM para los pc fijos de: coordinador de recaudo, 1 profesional de control presupuestal y 1 director FNFP.</t>
  </si>
  <si>
    <t>Se requiere la compra de una UPS para el área de recaudo para el cargo del practicante. Este rubro no estaba contemplado en la vigencia anterior.</t>
  </si>
  <si>
    <t xml:space="preserve">Se requiere la compra de dos equipos portátiles para los dos asesores de recaudo nuevos. El incremento corresponde al 3,5% del IPC proyectado y a la copra de un portátil adicional al comprado en la vigencia anterior. </t>
  </si>
  <si>
    <t>Se requiere el mantenimiento y/o compra de repuestos para los equipos fijos y portátiles del área. Este rubro no tenia contemplado en la vigencia anterior.</t>
  </si>
  <si>
    <t>Se requiere la elaboración de 1.000 agendas para los recaudadores de la cuota de fomento por valor de $10.950 c/u donde se incluye el calendario de pagos e información del Fondo. El incremento del 3,5% es del IPC esperado.</t>
  </si>
  <si>
    <t>Se requiere la elaboración de 1.500 cartillas guía para recaudadores por valor de $1.450 c/u, donde se informe el correcto pago y diligenciamiento de la información de la cuota de fomento. Este rubro no estaba contemplado en la vigencia anterior.</t>
  </si>
  <si>
    <t>Se requiere la impresión de material divulgativo con el fin de socializar el Fondo su normatividad e inversión. El incremento del 3,5% es del IPC esperado.</t>
  </si>
  <si>
    <t>Se requiere la impresión de actas de visita pre impresa tipo talonario para soportar las visitas de seguimiento realizadas a los Recaudadores. Este rubro no estaba contemplado en la vigencia anterior.</t>
  </si>
  <si>
    <t>Se contempla el pago del 4 x 1.000 tanto del recaudo anual como los diferentes gastos bancarios durante los 12 meses de la vigencia 2019. Presenta un incremento del 11% con respecto a la vigencia anterior, teniendo en cuenta mas pagos.</t>
  </si>
  <si>
    <t>Se requiere movilizar al responsable del proyecto a las diferentes reuniones en las entidades con la cuales se adelantan convenios y/o proyectos del FNFP. Este rubro no estaba contemplado la vigencia anterior.</t>
  </si>
  <si>
    <t>Se requiere viáticos para 45 viajes en promedio, entre viajes de 2,5, 4,5 y 11,5 días, programados para asesores de recaudo, coordinador de recaudo, director del FNFP y auditoria interna. Incluye viajes a zonas con desplazamiento terrestre. Incremento del 64,8%, frente al valor del año 2018 debido a que se requiere mayor seguimiento por parte de la oficina central a los asesores de recaudo, así como la necesidad de realizar feedback con cada asesor en su zona, lo cual sustituye la capacitación a asesores del segundo semestre.</t>
  </si>
  <si>
    <t>Tiquetes para 4 asesores para la reunión de capacitación nacional. El incremento es mayor al IPC esperado, que se debe a estandarización de tarifas. Se realiza una sola capacitación en el año, pero se requieren tiquetes aéreos para los 2 nuevos asesores.</t>
  </si>
  <si>
    <t xml:space="preserve">Honorario de construcción de prototipo </t>
  </si>
  <si>
    <t xml:space="preserve">convenio </t>
  </si>
  <si>
    <t>Se requiere  la  realización de un convenio con la Universidad de los Andes para el diseño e implementación de un prototipo automatizado para la extracción de almidón a partir de papa Diacol Capiro de descarte y evaluación de la factibilidad de una escalabilidad futura. Este proyecto no se contemplaba en la vigencia anterior.</t>
  </si>
  <si>
    <t>PROYECTO</t>
  </si>
  <si>
    <t>CAMPAÑA DE CONSUMO</t>
  </si>
  <si>
    <t>PROTOTIPO</t>
  </si>
  <si>
    <t>convenio</t>
  </si>
  <si>
    <t>PRESUPUESTO DE GASTOS PARA SISTEMAS DE INFORMACIÓN VIGENCIA 2019</t>
  </si>
  <si>
    <t>Certificación  SSL y privacidad del dominio de preparalapapa</t>
  </si>
  <si>
    <t>El sitio web requiere la certificación anual SSL (secure socket layer) es la transmisión segura de información a través de internet, presenta un incremento del 100% por no contemplarse en la vigencia anterior.</t>
  </si>
  <si>
    <t>Se requiere la compra de la licencia de Office  365 para un equipo del funcionario de Diseño.</t>
  </si>
  <si>
    <t>Se requiere realizar el mantenimiento de los equipos del área de esta manera se solicita el kit para que el área de sistemas realice la actividad de mantenimiento. Este rubro no se encontraba discriminado la vigencia anterior.</t>
  </si>
  <si>
    <t>Se requiere contar con el material impreso para divulgación del FNFP, la campaña de consumo de papa y recetas, entre otros.</t>
  </si>
  <si>
    <t>Paquete divulgativo</t>
  </si>
  <si>
    <t>Transportes</t>
  </si>
  <si>
    <t>Extensionistas</t>
  </si>
  <si>
    <t>Se requiere realizar el mantenimiento de los equipos del área de esta manera se solicita el kit para que el área de sistemas pueda realizar la actividad de mantenimiento. Este rubro no se encontraba discriminado la vigencia anterior.</t>
  </si>
  <si>
    <t>Se requiere la contratación de un Asistente del proyecto que apoye las actividades administrativas del proyecto. Se presenta un incremento del 3,5% correspondiente al IPC proyectado.</t>
  </si>
  <si>
    <t>Para la vigencia 2019 no se requiere este gasto.</t>
  </si>
  <si>
    <t>6 Juntas Directivas X 3 Miembros de Junta</t>
  </si>
  <si>
    <t>TOTAL PRESTACION DE SERVICIOS</t>
  </si>
  <si>
    <t>Impresora</t>
  </si>
  <si>
    <t>Impresora multifuncional</t>
  </si>
  <si>
    <t>ANALISTA DE RECAUDO</t>
  </si>
  <si>
    <t>ANALISTA GESTION DOCUMENTAL</t>
  </si>
  <si>
    <t>Se requiere pago de nómina personal de recaudo x 12 meses, 1 coordinador de recaudo, 8 asesores de recaudo, 1 asistente, 1 analista, 1 profesional de control presupuestal y 1 practicante. El incremento presentado se debe al ingreso de 2 asesores y un analista de recaudo requeridos para el proyecto. El incremento en el salario y prestaciones de ley corresponde al 3,5% es decir el IPC proyectado, a excepción de los cargos de asesor de recaudo que no presenta incremento debido a que se realizará un pago de servicio telefónico.</t>
  </si>
  <si>
    <t xml:space="preserve">Se requiere compra de dotación legal para el asistente y el analista de recaudo. El incremento corresponde al 3,5% del IPC proyectado y a la dotación para el nuevo analista de recaudo. </t>
  </si>
  <si>
    <t>Se requiere licenciamiento de antivirus para 10 equipos de computo para: coordinador de recaudo, 8 asesores de recaudo, 1 asistente, 1 analista, 1 profesional de control presupuestal y 1 practicante. Este rubro no estaba contemplado en la vigencia anterior.</t>
  </si>
  <si>
    <t xml:space="preserve">Se requiere la compra de licencias vitalicias para los equipos de los dos asesores y el analista que ingresaran para la vigencia 2019. </t>
  </si>
  <si>
    <t>Se requiere la compra de la licencia vitalicia del sistema operativo Windows 10 profesional para 8 funcionarios del área de recaudo. Este rubro no se encontraba discriminado en la vigencia anterior. No se requería este gasto la vigencia anterior.</t>
  </si>
  <si>
    <t>Se requiere la compra de un pc fijo para el nuevo analista de recaudo. Incluida licencia de sistema operativo. Este rubro no se tenia contemplado en la vigencia anterior.</t>
  </si>
  <si>
    <t>Se requiere la compra de escritorio y silla para el nuevo analista de recaudo. Este rubro no se tenia contemplado en la vigencia anterior.</t>
  </si>
  <si>
    <t>2 líneas de celular por 12 meses a un costo de $129.900 cada una. El incremento del 3,5% es del IPC esperado.</t>
  </si>
  <si>
    <t>Arrendamiento de oficinas para el Fondo Nacional de Fomento de la Papa x 12 meses a un costo de  $1.140.000. El Incremento del 3.5% es del IPC esperado.</t>
  </si>
  <si>
    <t>Se requiere alimentación para equipo de trabajo (8 asesores, 1 asistente y 1 analista de recaudo, coordinador de recaudo, control presupuestal y director del FNFP) para 1 reunión de capacitación durante 5 días (refrigerio, almuerzo, refrigerio) ($69.800 persona/día). Se realiza una sola capacitación en el año, pero se requiere alimentación par 2 nuevos asesores y el nuevo analista de recaudo.</t>
  </si>
  <si>
    <t>Programa</t>
  </si>
  <si>
    <t>Computador</t>
  </si>
  <si>
    <t>Persona</t>
  </si>
  <si>
    <t>1 Extensionista X 12 meses</t>
  </si>
  <si>
    <t>Se requiere personal para el cargo de Sistematizador cuota de fomento por 12 meses. Se presenta un incremento del 3,5% correspondiente al IPC esperado para la vigencia 2019. (Anexo Supuestos Gastos).</t>
  </si>
  <si>
    <t>Este rubro presenta una disminución, teniendo en cuenta que este valor es suficiente para cumplir con los objetivos planeados.</t>
  </si>
  <si>
    <t>Se requiere realizar el mantenimiento de los equipos del área de esta manera se solicita el kit para el área de sistemas para realizar la actividad de mantenimiento para los computadores de funcionamiento. No se contaba con este rubro la vigencia anterior.</t>
  </si>
  <si>
    <t>Se requiere el servicio de internet y teléfono fijo por 3 meses. Se presenta un incremento del 3,5% correspondiente al IPC esperado. (Anexo Supuestos Gastos)</t>
  </si>
  <si>
    <t>Se requiere personal para el cargo Gestión Documental por 12 meses. Se presenta un incremento del 3,5% correspondiente al IPC esperado para la vigencia 2019. (Anexo Supuestos Gastos)</t>
  </si>
  <si>
    <t xml:space="preserve">Se requiere el arrendamiento de oficinas administrativas para el fondo por los 12 meses, a un costo de $341.800 mensuales, incluye oficina para 3 personas, sala de junta y espacio de cafetería. Se presenta un incremento del 3,5% correspondiente al IPC esperado para la vigencia 2019. (Anexo Supuestos Gastos) </t>
  </si>
  <si>
    <t>Se requiere realizar publicación en medios impresos (aviso de ley) con el fin de divulgar la normatividad del FNFP y el proceso de selección de junta directiva que adelanta el fondo a todos los interesados en participar. No se contaba con este rubro la vigencia anterior.</t>
  </si>
  <si>
    <t>Se requieren 6 viáticos por 2 noches aproximadamente (alojamiento y alimentación) para las reuniones divulgativas para la selección de la nueva junta directiva del FNFP en los departamentos de Boyacá, Cundinamarca, Nariño, Santander, Antioquia, Tolima y Cauca. No se contaba con este rubro la vigencia anterior.</t>
  </si>
  <si>
    <t>Se requieren tiquetes para desplazamiento de miembros de junta a las sesiones. Presentándose una disminución del 39,52%  debido a que en la vigencia 2018 se realizó una sesión fuera de Bogotá.</t>
  </si>
  <si>
    <t>Se requieren 6 viáticos (alojamiento y alimentación) en el año para los miembros de junta de Nariño y Boyacá. Presentándose una disminución del 40,46%  debido a que en la vigencia 2018 se realizó una sesión fuera de Bogotá.</t>
  </si>
  <si>
    <t>Mostrador y cocina preparación de degustaciones y shows</t>
  </si>
  <si>
    <t>% Participación por Canal</t>
  </si>
  <si>
    <t>% Gestión 2019</t>
  </si>
  <si>
    <t>Meta 2019</t>
  </si>
  <si>
    <t>% Variación 2018 - 2019</t>
  </si>
  <si>
    <t>Canal de Comercialización</t>
  </si>
  <si>
    <t>SUPUESTOS BÁSICOS AÑO 2018</t>
  </si>
  <si>
    <t>SUPUESTOS BÁSICOS AÑO 2019</t>
  </si>
  <si>
    <t>VARIACIÓN PORCENTUAL</t>
  </si>
  <si>
    <t>ÁREA ESPERADA (has)</t>
  </si>
  <si>
    <t>RENDIMIENTO ESPERADO (ton/ha)</t>
  </si>
  <si>
    <t>PRECIO TONELADA ($/ton)</t>
  </si>
  <si>
    <t>PRODUCCIÓN (ton)</t>
  </si>
  <si>
    <t>TONELADAS (ton)</t>
  </si>
  <si>
    <t>AUTOCONSUMO (11%) (ton)</t>
  </si>
  <si>
    <t>SEMILLA (2%) (ton)</t>
  </si>
  <si>
    <t>VALOR PRODUCCIÓN ($)</t>
  </si>
  <si>
    <t>RECAUDO POTENCIAL ($)</t>
  </si>
  <si>
    <t>RECAUDO 2018 ($)</t>
  </si>
  <si>
    <t>RECAUDO 2019 ($)</t>
  </si>
  <si>
    <t>PARTICIPACIÓN RECAUDO (%)</t>
  </si>
  <si>
    <t>EVASIÓN (%)</t>
  </si>
  <si>
    <t xml:space="preserve">NOTA: SI EL FONDO GENERA INGRESOS POR CONCEPTOS DIFERENTES A LOS AQUÍ </t>
  </si>
  <si>
    <t>CUOTA DE ADMINISTRACIÓN</t>
  </si>
  <si>
    <t>INVERSIÓN:</t>
  </si>
  <si>
    <t>Análisis foliares</t>
  </si>
  <si>
    <t>Campaña de promoción al consumo</t>
  </si>
  <si>
    <t>TOTAL INVERSIÓN Y FUNCIONAMIENTO</t>
  </si>
  <si>
    <t>INVERSIÓN</t>
  </si>
  <si>
    <t>TOTAL
INVERSIÓN</t>
  </si>
  <si>
    <t>CUOTA DE  ADMINISTRACIÓN</t>
  </si>
  <si>
    <t>DIRECCIÓN DE PLANEACIÓN Y SEGUIMIENTO PRESUPUESTAL</t>
  </si>
  <si>
    <t>PRESUPUESTO GASTOS DE FUNCIONAMIENTO E INVERSIÓN  FONDO NACIONAL FOMENTO PAPA</t>
  </si>
  <si>
    <t>RELACIONADOS DEBERÁ INCLUIRLOS</t>
  </si>
  <si>
    <t>TASA DE INTERÉS</t>
  </si>
  <si>
    <t>INVERSIÓN ESPERADA 2019</t>
  </si>
  <si>
    <t>DÍAS AÑO</t>
  </si>
  <si>
    <t>DÍAS LABORADOS AÑO</t>
  </si>
  <si>
    <t>DÍAS MES</t>
  </si>
  <si>
    <t>SALARIO MÍNIMO 2018</t>
  </si>
  <si>
    <t>PENSIÓN</t>
  </si>
  <si>
    <t>INTERESES A LAS CESANTÍAS</t>
  </si>
  <si>
    <t>PRESTACIÓN DE SERVICIOS VIGENCIA 2019</t>
  </si>
  <si>
    <t xml:space="preserve">Se requiere contar con la asesoría durante la transición e implementación de normas internacionales en fondos parafiscales. </t>
  </si>
  <si>
    <t>INVESTIGACIÓN Y TRANSFERENCIA DE TECNOLOGÍA</t>
  </si>
  <si>
    <t>24 Extensionistas X 45 días</t>
  </si>
  <si>
    <t>días</t>
  </si>
  <si>
    <t>Honorarios chef especialista en papa, con el fin de realizar shows gastronómicos y preparaciones en papa. Se requiere contar con este experto durante la feria de Agroexpo por 11 días.</t>
  </si>
  <si>
    <t xml:space="preserve">Se requiere dotación para el cargo de Gestión Documental, correspondiente a lo estipulado por la ley, 3 dotaciones de $227.855 al año. Presentándose un incremento del 3,5% del IPC proyectado para la vigencia 2019. </t>
  </si>
  <si>
    <t>Escáner</t>
  </si>
  <si>
    <t>El área de gestión documental con el fin de dar cumplimiento a la normatividad vigente de archivo, requiere un escáner con capacidad suficiente y de buena calidad, para  digitalizar la información  que genera el FNFP. No se contaba con este rubro la vigencia anterior.</t>
  </si>
  <si>
    <t>Licencia vitalicia sistema operativo Windows 10 profesional</t>
  </si>
  <si>
    <t>Se requiere la compra de la licencia vitalicia del sistema operativo Windows 10 profesional para el sistematizador cuota de fomento. No se contaba con este rubro la vigencia anterior.</t>
  </si>
  <si>
    <t>Se requiere la compra de la licencia anual para el funcionario de gestión documental. No se contaba con este rubro la vigencia anterior.</t>
  </si>
  <si>
    <t>Se requiere licenciamiento de antivirus para 2 equipos de computo para: sistematizador cuota de fomento y gestión documental. No se contaba con este rubro la vigencia anterior.</t>
  </si>
  <si>
    <t>Se requiere la compra de una impresora multifuncional para el FNFP que será con presupuesto de funcionamiento y de los proyectos. Este rubro no se encontraba discriminado la vigencia anterior.</t>
  </si>
  <si>
    <t>Se requiere la alimentación para el equipo de trabajo durante la capacitación anual. Se contempla (refrigerio, almuerzo y refrigerio). No se contaba con este rubro la vigencia anterior.</t>
  </si>
  <si>
    <t>Se requieren tiquetes para realizar los desplazamientos a Nariño, Antioquia, Santander, Tolima y Cauca con el fin de adelantar el proceso de divulgación normativo sobre el FNFP y proceso de selección de los nuevos miembros de junta directiva. No se contaba con este rubro la vigencia anterior.</t>
  </si>
  <si>
    <t>Publicación medios impresos</t>
  </si>
  <si>
    <t>Se requiere realizar la logística de las reuniones de divulgación y brindar un refrigerio a los diferentes participantes de las reuniones divulgativas en las 7 zonas productoras y la final de socialización. No se contaba con este rubro la vigencia anterior.</t>
  </si>
  <si>
    <t xml:space="preserve">Se requiere el pago de servicio de alimentación para las 6 reuniones de junta directiva propuesta para la vigencia. Presentándose un incremento del 19% teniendo en cuenta que se contempla una sesión adicional para la vigencia 2019. </t>
  </si>
  <si>
    <t>Se requiere el pago de apoyo de desplazamiento a miembros de junta directiva por asistencia a cada junta, compuesto por 6 juntas en el año por valor de $245.000 para los tres miembros de junta. Presentándose un incremento del 26,41% teniendo en cuenta 6 sesiones de junta directiva frente a la vigencia anterior.</t>
  </si>
  <si>
    <t>Se requiere realizar el pago de la cuota de Auditaje de control fiscal. Presentándose un incremento del 115% teniendo en cuenta el mecanismo para la liquidación por parte del ente de control, el cual cuenta con variables y cifras totales de los ingresos reportados por las diferentes entidades vigiladas, para determinar el factor de liquidación.</t>
  </si>
  <si>
    <t>Asesoría</t>
  </si>
  <si>
    <t>Se requiere la compra de una impresora multifuncional para el FNFP. Este rubro no se encontraba discriminado la vigencia anterior.</t>
  </si>
  <si>
    <t>Se requiere la contratación de un profesional en ciencias económicas para la puesta en marcha y ejecución del proyecto.  El incremento en el salario y prestaciones de ley corresponde al 3,5% es decir el IPC proyectado.</t>
  </si>
  <si>
    <t>Se requiere la contratación de un practicante como apoyo al profesional en ciencias económicas. El incremento en el salario corresponde al 4% es decir el mínimo esperado, sin embargo, durante la vigencia 2018 se presentó vacío laboral en el cargo lo que refleja una mayor variación frente a la solicitud de la vigencia 2019 del 24%.</t>
  </si>
  <si>
    <t>Se requiere el pago anual de la póliza de seguro a todos los activos fijos de este proyecto.</t>
  </si>
  <si>
    <t>Software de envío de correos masivos</t>
  </si>
  <si>
    <t>Se requiere la compra de un Software para la divulgación de información de los proyectos del área económica. No se contaba con este rubro en 2018.</t>
  </si>
  <si>
    <t>Se requiere la compra de un Disco Duro de 2TB de almacenamiento, con el fin de garantizar la salva guardia de la información generada por el área de sistemas de información. Para la vigencia 2018 no se contemplo esta compra.</t>
  </si>
  <si>
    <t>Se requiere la compra de la licencia vitalicia del sistema operativo Windows 10 profesional para el sistematizador cuota de fomento. Este rubro no se encontraba discriminado en la vigencia anterior.</t>
  </si>
  <si>
    <t>Este rubro no presenta incremento, el valor solicitado satisface las necesidades de implementos de trabajo para el desarrollo de las actividades del área.</t>
  </si>
  <si>
    <t>Se requiere la compra de tiquetes para 6 viajes en 12 meses para el responsable del proyecto a zonas productoras, con el fin de realizar un posible estudio de comercialización se contemplan visitas de acompañamiento para tal fin. Presentando un incremento del 33,20%.</t>
  </si>
  <si>
    <t>Se requiere viáticos para 8 viajes en 12 meses a cargo del responsable del proyecto a zonas productoras, con el fin de realizar un posible estudio de comercialización se contemplan visitas de acompañamiento para tal fin. Presentado un incremento del 48%.</t>
  </si>
  <si>
    <t>Se requiere la alimentación para el equipo de trabajo durante la capacitación anual. Se contempla (refrigerio, almuerzo y refrigerio). Se presenta una disminución debido a que se contempla menos días de duración de la capacitación frente la vigencia anterior.</t>
  </si>
  <si>
    <t>PRESUPUESTO DE GASTOS PARA IMPLEMENTACIÓN DE TECNOLOGÍAS MEDIANTE EXTENSIÓN RURAL EN EL SECTOR PRODUCTIVO PAPA (ITPA) 2019
 VIGENCIA 2018</t>
  </si>
  <si>
    <t>Para la vigencia 2019 se contempla la vinculación de un extensionista por contrato laboral por nomina desde el 1 de enero y hasta el 31 de diciembre de 2019. Debido a que se encuentra en estado de gestación. Presenta una disminución del 95% teniendo en cuenta los ajustes estratégicos del proyecto, el cual esta sujeto a la consecución de productores beneficiarios del proyecto contribuyente de la cuota de fomento.</t>
  </si>
  <si>
    <t>Se requiere la contratación por prestación de servicios de 24 extensionistas con honorarios por valor de $3.850.000 mensual por un mes y quince días (45 días) de contratación, para la consecución de los productores beneficiarios del proyecto contribuyentes de la cuota de fomento.</t>
  </si>
  <si>
    <t>Alojamiento y alimentación</t>
  </si>
  <si>
    <t xml:space="preserve">Se requiere ampliación de memoria de los computadores para el área técnica tanto para el director como el asistente. Este rubro no se contemplo la vigencia anterior. </t>
  </si>
  <si>
    <t>Se requiere el servicio de envío y recepción de correspondencia y papelería para el área técnica durante la vigencia 2019.</t>
  </si>
  <si>
    <t xml:space="preserve">Se requiere la compra de papelería del proyecto por valor de $250.000 mensuales durante 12 meses. Se presenta una disminución del 12%, teniendo en cuenta los ajustes realizados al proyecto, adicionalmente este valor es suficiente para las necesidades de papelería e implementos de los funcionarios del área. </t>
  </si>
  <si>
    <t>Se requiere para movilizar al director a las diferentes reuniones en las entidades con la cuales se a delatan convenios y/o proyectos del FNFP.</t>
  </si>
  <si>
    <t>TRANSFERENCIA DE TECNOLOGÍA</t>
  </si>
  <si>
    <t xml:space="preserve">Análisis foliares y/o análisis microbiológicos  </t>
  </si>
  <si>
    <t>PRESUPUESTO DE GASTOS PARA PROTOTIPO EXTRACTOR DE ALMIDÓN DE PAPA PARA LA VIGENCIA 2019</t>
  </si>
  <si>
    <t>PRESUPUESTO DE CAMPAÑA DE PROMOCIÓN AL CONSUMO</t>
  </si>
  <si>
    <t>Se requiere una continuidad en esta contratación, el  Director de Mercadeo será el encargado de supervisar y ejecutar el presupuesto y todas las acciones del plan estratégico 2017 - 2021. Se presenta un incremento salarial del 3,5% correspondiente al IPC proyectado. Sin embargo la disminución del gasto corresponde al 49,89% teniendo en cuenta que se contempla por 6 meses para la vigencia 2019. Se contempla el inicio del contrato a termino fijo desde el 02/01/2019.</t>
  </si>
  <si>
    <t>Se requiere la contratación de una diseñador gráfico especializado en redes sociales que tenga capacidad de alimentar  las diferentes redes sociales de FNFP, se presenta un incremento salarial del 3,5% correspondiente al ICP proyectado, sin embargo la disminución del gasto corresponde al 49,73% teniendo en cuenta que se contempla por 6 meses para la vigencia 2019. Se contempla el inicio del contrato a termino fijo desde el 14/01/2019.</t>
  </si>
  <si>
    <t>Se requiere la compra anual de la licencia de la Suite de Adobe la cual viene con varios programas para creación y edición de contenido multimedia. Presenta un incremento del 26,35% teniendo en cuenta los costos presentados por los diferentes proveedores cotizados.</t>
  </si>
  <si>
    <t>Teniendo en cuenta la duración del proyecto, se contempla este gastos por 6 meses presentando una disminución del 49% frente a la vigencia anterior.</t>
  </si>
  <si>
    <t>Se presenta una disminución del 59,30% teniendo en cuenta el plan estratégico de consumo y su distribución presupuestal aprobado por la junta directiva, en este caso para la compra de medios es decir acciones ATL. (Compra de espacios publicitarios en medios masivos como televisión nacional, radio nacional, en la franjas day, early y prime.  Ademas de renovación de licencias de referencias de comerciales para difusión y creación de material)</t>
  </si>
  <si>
    <t xml:space="preserve">Investigación de consumo per cápita de papa </t>
  </si>
  <si>
    <t>Se requiere dar continuidad en el estudio de consumo perca pita y percepción de la campaña de consumo para evaluar los resultados de la vigencia 2018 vs 2019. Se contempla únicamente la medición del mes de mayo, presentando una disminución del 42%.</t>
  </si>
  <si>
    <t>Se presenta una disminución del 42% teniendo en cuenta el plan estratégico de consumo y su distribución presupuestal aprobado por la junta directiva, en este caso para las actividades de acciones BTL.</t>
  </si>
  <si>
    <t>Se presenta una disminución del 58% teniendo en cuenta el plan estratégico de consumo y su distribución presupuestal aprobado por la junta directiva, en este caso para las actividades de acciones DIGITAL. (Compra de espacio digitales en SEO Optimización en Buscadores, SEM (Publicidad en Buscadores), SMM (Social Media Marketing, Publicidad Paga en Redes sociales: FB, Instagram y Youtube), Contenido en redes sociales)</t>
  </si>
  <si>
    <t>La renovación de dominio se realiza cada dos años, de esta manera este gasto no se contemplo en la vigencia anterior, presentando un incremento del 100% y de esta manera contar con los servicios activos de la pagina web.</t>
  </si>
  <si>
    <t>Se requiere la contratación de una diseñador gráfico especializado en redes sociales que tenga capacidad de alimentar  las diferentes redes sociales de FNFP, se presenta un incremento salarial del 3,5% correspondiente al ICP proyectado, sin embargo la disminución del gasto corresponde al 49,73% teniendo en cuenta que se contempla por 6 meses para la vigencia 2019.</t>
  </si>
  <si>
    <t>* Para la inversión por pilar y medio descrita en el plan estratégico de consumo 2017 - 2021, el porcentaje correspondiente para la vigencia 2019 es del 14% así: ATL 9,5%, BTL 2,5% Y DIGITAL 2%.</t>
  </si>
  <si>
    <t>Se requiere los honorarios del chef especialista en papa, con el fin de realizar shows gastronómicos y preparaciones en papa. Se requiere contar con este experto durante la feria de Agroexpo por 11 días.</t>
  </si>
  <si>
    <t xml:space="preserve">Para la participación en la feria Agroexpo 2019 se requiere el montaje de stand de 72 mts cuadrados elaborado en MDF, con terminaciones en yeso, estuco y vinilo  rustico italiano, spot  para iluminación interna del stand, branding en vinilo adhesivo, piso laminado tipo madera, sonido, iluminación y demás insumos requeridos. </t>
  </si>
  <si>
    <t>Se requiere la elaboración del counter y módulos de cocina.</t>
  </si>
  <si>
    <t>Se requiere contar con personal de apoyo, previamente capacitado para el manejo de la actividad dentro del stand durante los 11 de la feria de Agroexpo, así como en el montaje y desmontaje.</t>
  </si>
  <si>
    <t>Realizar 3 recetas demostrativas por día, durante los 11 días de feria en la participación de Agroexpo.</t>
  </si>
  <si>
    <t>Se requieren insumos para preparación de 3.300 degustaciones tamaño bocado durante los 11 días de la feria, se entregaran 300 degustaciones por día.</t>
  </si>
  <si>
    <t>Material apoyo divulgación</t>
  </si>
  <si>
    <t>Espacio Corferias</t>
  </si>
  <si>
    <t>Para la participación en la feria se requiere contar con el espacio en Corferias de 72 mts cuadrados, valor aproximado del mt cuadrado es de $550.000 sin embargo, se contemplan costos adicionales para puntos adicionales de energía monofásica, trifásica, agua y desagüe.</t>
  </si>
  <si>
    <t>catalina, ninfa, alex, pasante, maritza, brayan</t>
  </si>
  <si>
    <t>camilo y carolina</t>
  </si>
  <si>
    <t>nicolas</t>
  </si>
  <si>
    <t>ÁREA</t>
  </si>
  <si>
    <t>RESPONSABLE</t>
  </si>
  <si>
    <t>OBJETIVOS</t>
  </si>
  <si>
    <t>UNIDAD
MEDIDA</t>
  </si>
  <si>
    <t>Área de Funcionamiento</t>
  </si>
  <si>
    <t>Área de
Recaudo</t>
  </si>
  <si>
    <t>Suministro de insumos minimos necesarios y requeridos por los funcionarios para realizar las actividades propias del cargo a desempeñar.</t>
  </si>
  <si>
    <t>Suministro de recursos de identificacion como funcionarios de la organización para divulgacion de la cuota de fomento.</t>
  </si>
  <si>
    <t>Lograr la identificacion de recaudadores potenciales.</t>
  </si>
  <si>
    <t>Área de Sistemas de Informacion</t>
  </si>
  <si>
    <t>Área de Investigación y tranferencia de tecnología</t>
  </si>
  <si>
    <t>Divulgacion del Fondo Nacional de Fomento de la Papa, proyectos e inversion.</t>
  </si>
  <si>
    <t>Área de mercadeo</t>
  </si>
  <si>
    <t>TOTAL PLAN DE COMPRAS</t>
  </si>
  <si>
    <t>PLAN DE COMPRAS ANUAL VIGENCIA 2019</t>
  </si>
  <si>
    <t>ORDENADOR DEL GASTO</t>
  </si>
  <si>
    <t>DIRECTOR ECONOMICO</t>
  </si>
  <si>
    <t>DIRECTOR TECNICO</t>
  </si>
  <si>
    <t>DIRECTOR MERCADEO</t>
  </si>
  <si>
    <t>COORDINADOR DE RECAUDO</t>
  </si>
  <si>
    <t>VLR TOTAL</t>
  </si>
  <si>
    <t>Camaras de comercio</t>
  </si>
  <si>
    <t>Material divulgativo</t>
  </si>
  <si>
    <t>Insumos para contar con la participacion del FNFP en la feria Agroexpo, asi como la promocion y divulgacion del fondo.</t>
  </si>
  <si>
    <t>Promocion y divulgacion del Fondo Nacional de Fomento de la Papa, proyectos e inversion.</t>
  </si>
  <si>
    <t>Herramienta para la consolidacion y valiacion del recaudo de la cuota de fomento de la papa</t>
  </si>
  <si>
    <t>Comprar lo elementos contemplados por concepto de dotacion de ley y dar cumplimiento a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</si>
</sst>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3" formatCode="_-* #,##0.00_-;\-* #,##0.00_-;_-* &quot;-&quot;??_-;_-@_-"/>
    <numFmt numFmtId="164" formatCode="_-* #,##0.00\ &quot;€&quot;_-;\-* #,##0.00\ &quot;€&quot;_-;_-* &quot;-&quot;??\ &quot;€&quot;_-;_-@_-"/>
    <numFmt numFmtId="165" formatCode="_-* #,##0.00\ _€_-;\-* #,##0.00\ _€_-;_-* &quot;-&quot;??\ _€_-;_-@_-"/>
    <numFmt numFmtId="166" formatCode="&quot;$&quot;#,##0;[Red]\-&quot;$&quot;#,##0"/>
    <numFmt numFmtId="167" formatCode="_-&quot;$&quot;* #,##0.00_-;\-&quot;$&quot;* #,##0.00_-;_-&quot;$&quot;* &quot;-&quot;??_-;_-@_-"/>
    <numFmt numFmtId="168" formatCode="_(&quot;$&quot;\ * #,##0.00_);_(&quot;$&quot;\ * \(#,##0.00\);_(&quot;$&quot;\ * &quot;-&quot;??_);_(@_)"/>
    <numFmt numFmtId="169" formatCode="0.0%"/>
    <numFmt numFmtId="170" formatCode="0.000%"/>
    <numFmt numFmtId="171" formatCode="_ * #,##0.00_ ;_ * \-#,##0.00_ ;_ * &quot;-&quot;??_ ;_ @_ "/>
    <numFmt numFmtId="172" formatCode="_-&quot;$&quot;* #,##0_-;\-&quot;$&quot;* #,##0_-;_-&quot;$&quot;* &quot;-&quot;??_-;_-@_-"/>
    <numFmt numFmtId="173" formatCode="_ * #,##0_ ;_ * \-#,##0_ ;_ * &quot;-&quot;??_ ;_ @_ "/>
    <numFmt numFmtId="174" formatCode="[$$-240A]#,##0.00"/>
    <numFmt numFmtId="175" formatCode="[$$-240A]#,##0"/>
    <numFmt numFmtId="176" formatCode="_-* #,##0\ _€_-;\-* #,##0\ _€_-;_-* &quot;-&quot;??\ _€_-;_-@_-"/>
    <numFmt numFmtId="177" formatCode="_-* #,##0.0\ _€_-;\-* #,##0.0\ _€_-;_-* &quot;-&quot;??\ _€_-;_-@_-"/>
    <numFmt numFmtId="178" formatCode="_(&quot;$&quot;\ * #,##0_);_(&quot;$&quot;\ * \(#,##0\);_(&quot;$&quot;\ * &quot;-&quot;??_);_(@_)"/>
    <numFmt numFmtId="179" formatCode="0.0000%"/>
    <numFmt numFmtId="180" formatCode="_-* #,##0_-;\-* #,##0_-;_-* &quot;-&quot;??_-;_-@_-"/>
    <numFmt numFmtId="181" formatCode="_(* #,##0.00_);_(* \(#,##0.00\);_(* &quot;-&quot;??_);_(@_)"/>
    <numFmt numFmtId="182" formatCode="#,##0\ _€"/>
    <numFmt numFmtId="183" formatCode="[$$-240A]#,##0;\-[$$-240A]#,##0"/>
    <numFmt numFmtId="184" formatCode="_-[$$-240A]\ * #,##0_-;\-[$$-240A]\ * #,##0_-;_-[$$-240A]\ * &quot;-&quot;_-;_-@_-"/>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theme="1"/>
      <name val="Arial"/>
      <family val="2"/>
    </font>
    <font>
      <b/>
      <sz val="11"/>
      <name val="Arial"/>
      <family val="2"/>
    </font>
    <font>
      <b/>
      <sz val="12"/>
      <name val="Arial"/>
      <family val="2"/>
    </font>
    <font>
      <sz val="11"/>
      <color theme="0"/>
      <name val="Calibri"/>
      <family val="2"/>
      <scheme val="minor"/>
    </font>
    <font>
      <b/>
      <sz val="10"/>
      <name val="Calibri"/>
      <family val="2"/>
      <scheme val="minor"/>
    </font>
    <font>
      <sz val="11"/>
      <name val="Calibri"/>
      <family val="2"/>
      <scheme val="minor"/>
    </font>
    <font>
      <sz val="12"/>
      <name val="Arial"/>
      <family val="2"/>
    </font>
    <font>
      <sz val="12"/>
      <color theme="1"/>
      <name val="Calibri"/>
      <family val="2"/>
      <scheme val="minor"/>
    </font>
    <font>
      <b/>
      <sz val="12"/>
      <color theme="1"/>
      <name val="Calibri"/>
      <family val="2"/>
      <scheme val="minor"/>
    </font>
    <font>
      <sz val="10"/>
      <name val="Arial"/>
      <family val="2"/>
    </font>
    <font>
      <sz val="12"/>
      <name val="Calibri"/>
      <family val="2"/>
      <scheme val="minor"/>
    </font>
    <font>
      <sz val="12"/>
      <color theme="0"/>
      <name val="Calibri"/>
      <family val="2"/>
      <scheme val="minor"/>
    </font>
    <font>
      <b/>
      <sz val="12"/>
      <name val="Calibri"/>
      <family val="2"/>
      <scheme val="minor"/>
    </font>
    <font>
      <sz val="10"/>
      <name val="Arial"/>
      <family val="2"/>
    </font>
    <font>
      <sz val="12"/>
      <color theme="1"/>
      <name val="Arial"/>
      <family val="2"/>
    </font>
    <font>
      <b/>
      <sz val="12"/>
      <color theme="1"/>
      <name val="Arial"/>
      <family val="2"/>
    </font>
    <font>
      <sz val="12"/>
      <color rgb="FF000000"/>
      <name val="Arial"/>
      <family val="2"/>
    </font>
    <font>
      <sz val="10"/>
      <color rgb="FFFFFF00"/>
      <name val="Arial"/>
      <family val="2"/>
    </font>
    <font>
      <u/>
      <sz val="11"/>
      <color theme="10"/>
      <name val="Calibri"/>
      <family val="2"/>
      <scheme val="minor"/>
    </font>
    <font>
      <b/>
      <sz val="11"/>
      <name val="Calibri"/>
      <family val="2"/>
      <scheme val="minor"/>
    </font>
    <font>
      <b/>
      <sz val="8"/>
      <name val="Arial"/>
      <family val="2"/>
    </font>
    <font>
      <b/>
      <sz val="16"/>
      <color theme="1"/>
      <name val="Arial"/>
      <family val="2"/>
    </font>
    <font>
      <sz val="12"/>
      <color rgb="FFFF0000"/>
      <name val="Arial"/>
      <family val="2"/>
    </font>
    <font>
      <sz val="11"/>
      <color rgb="FFFF0000"/>
      <name val="Calibri"/>
      <family val="2"/>
      <scheme val="minor"/>
    </font>
    <font>
      <b/>
      <sz val="11"/>
      <color rgb="FFFF0000"/>
      <name val="Calibri"/>
      <family val="2"/>
      <scheme val="minor"/>
    </font>
    <font>
      <sz val="12"/>
      <color theme="0"/>
      <name val="Arial"/>
      <family val="2"/>
    </font>
    <font>
      <b/>
      <sz val="16"/>
      <name val="Arial"/>
      <family val="2"/>
    </font>
    <font>
      <b/>
      <sz val="11"/>
      <name val="Arial"/>
      <family val="2"/>
    </font>
    <font>
      <sz val="11"/>
      <name val="Arial"/>
      <family val="2"/>
    </font>
    <font>
      <b/>
      <sz val="14"/>
      <name val="Arial"/>
      <family val="2"/>
    </font>
    <font>
      <b/>
      <sz val="12"/>
      <name val="Arial Narrow"/>
      <family val="2"/>
    </font>
    <font>
      <sz val="12"/>
      <name val="Arial Narrow"/>
      <family val="2"/>
    </font>
    <font>
      <b/>
      <sz val="11"/>
      <color theme="1"/>
      <name val="Arial"/>
      <family val="2"/>
    </font>
    <font>
      <sz val="12"/>
      <color rgb="FFFF0000"/>
      <name val="Arial Narrow"/>
      <family val="2"/>
    </font>
    <font>
      <b/>
      <sz val="14"/>
      <color theme="1"/>
      <name val="Arial"/>
      <family val="2"/>
    </font>
    <font>
      <b/>
      <sz val="12"/>
      <color theme="0"/>
      <name val="Arial"/>
      <family val="2"/>
    </font>
    <font>
      <b/>
      <sz val="14"/>
      <color rgb="FFFFFFFF"/>
      <name val="Century Gothic"/>
      <family val="2"/>
    </font>
    <font>
      <sz val="14"/>
      <color rgb="FF767171"/>
      <name val="Century Gothic"/>
      <family val="2"/>
    </font>
    <font>
      <sz val="10"/>
      <name val="MS Sans Serif"/>
      <family val="2"/>
    </font>
    <font>
      <sz val="14"/>
      <color theme="2" tint="-0.499984740745262"/>
      <name val="Century Gothic"/>
      <family val="2"/>
    </font>
    <font>
      <b/>
      <sz val="14"/>
      <color theme="0"/>
      <name val="Century Gothic"/>
      <family val="2"/>
    </font>
    <font>
      <b/>
      <sz val="12"/>
      <color rgb="FFFFFFFF"/>
      <name val="Arial"/>
      <family val="2"/>
    </font>
    <font>
      <u/>
      <sz val="12"/>
      <name val="Arial"/>
      <family val="2"/>
    </font>
    <font>
      <sz val="14"/>
      <color theme="1"/>
      <name val="Arial"/>
      <family val="2"/>
    </font>
    <font>
      <b/>
      <sz val="9"/>
      <color indexed="81"/>
      <name val="Tahoma"/>
      <family val="2"/>
    </font>
    <font>
      <sz val="9"/>
      <color indexed="81"/>
      <name val="Tahoma"/>
      <family val="2"/>
    </font>
    <font>
      <sz val="13"/>
      <color rgb="FF000000"/>
      <name val="Arial"/>
      <family val="2"/>
    </font>
    <font>
      <b/>
      <sz val="11"/>
      <color rgb="FFFFFFFF"/>
      <name val="Century Gothic"/>
      <family val="2"/>
    </font>
    <font>
      <sz val="11"/>
      <name val="Century Gothic"/>
      <family val="2"/>
    </font>
    <font>
      <sz val="14"/>
      <color theme="1"/>
      <name val="Century Gothic"/>
      <family val="2"/>
    </font>
    <font>
      <b/>
      <sz val="14"/>
      <color theme="1"/>
      <name val="Century Gothic"/>
      <family val="2"/>
    </font>
    <font>
      <sz val="14"/>
      <name val="Century Gothic"/>
      <family val="2"/>
    </font>
    <font>
      <b/>
      <sz val="11"/>
      <name val="Century Gothic"/>
      <family val="2"/>
    </font>
    <font>
      <b/>
      <sz val="14"/>
      <color theme="0"/>
      <name val="Arial"/>
      <family val="2"/>
    </font>
  </fonts>
  <fills count="1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rgb="FF7CA697"/>
        <bgColor indexed="64"/>
      </patternFill>
    </fill>
    <fill>
      <patternFill patternType="solid">
        <fgColor rgb="FF94B6AA"/>
        <bgColor indexed="64"/>
      </patternFill>
    </fill>
    <fill>
      <patternFill patternType="solid">
        <fgColor theme="5" tint="0.79998168889431442"/>
        <bgColor indexed="64"/>
      </patternFill>
    </fill>
    <fill>
      <patternFill patternType="solid">
        <fgColor rgb="FFC3D7D0"/>
        <bgColor indexed="64"/>
      </patternFill>
    </fill>
    <fill>
      <patternFill patternType="solid">
        <fgColor theme="8" tint="-0.499984740745262"/>
        <bgColor indexed="64"/>
      </patternFill>
    </fill>
  </fills>
  <borders count="10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style="hair">
        <color indexed="64"/>
      </right>
      <top style="hair">
        <color indexed="64"/>
      </top>
      <bottom style="hair">
        <color indexed="64"/>
      </bottom>
      <diagonal/>
    </border>
    <border>
      <left style="thin">
        <color indexed="64"/>
      </left>
      <right/>
      <top/>
      <bottom/>
      <diagonal/>
    </border>
    <border>
      <left/>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rgb="FF7CA697"/>
      </left>
      <right style="thin">
        <color rgb="FF7CA697"/>
      </right>
      <top/>
      <bottom style="thin">
        <color rgb="FF7CA697"/>
      </bottom>
      <diagonal/>
    </border>
    <border>
      <left style="thin">
        <color rgb="FF7CA697"/>
      </left>
      <right style="thin">
        <color rgb="FF7CA697"/>
      </right>
      <top style="thin">
        <color rgb="FF7CA697"/>
      </top>
      <bottom style="thin">
        <color rgb="FF7CA697"/>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s>
  <cellStyleXfs count="475">
    <xf numFmtId="0" fontId="0" fillId="0" borderId="0"/>
    <xf numFmtId="167" fontId="1" fillId="0" borderId="0" applyFont="0" applyFill="0" applyBorder="0" applyAlignment="0" applyProtection="0"/>
    <xf numFmtId="9" fontId="1"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167" fontId="3" fillId="0" borderId="0" applyFont="0" applyFill="0" applyBorder="0" applyAlignment="0" applyProtection="0"/>
    <xf numFmtId="0" fontId="1" fillId="6"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9" borderId="0" applyNumberFormat="0" applyBorder="0" applyAlignment="0" applyProtection="0"/>
    <xf numFmtId="0" fontId="14" fillId="0" borderId="0"/>
    <xf numFmtId="0" fontId="18" fillId="0" borderId="0"/>
    <xf numFmtId="9" fontId="18" fillId="0" borderId="0" applyFont="0" applyFill="0" applyBorder="0" applyAlignment="0" applyProtection="0"/>
    <xf numFmtId="171" fontId="18"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 fillId="0" borderId="0"/>
    <xf numFmtId="0" fontId="3" fillId="0" borderId="0"/>
    <xf numFmtId="9" fontId="3" fillId="0" borderId="0" applyFont="0" applyFill="0" applyBorder="0" applyAlignment="0" applyProtection="0"/>
    <xf numFmtId="171"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0" fontId="43" fillId="0" borderId="0"/>
    <xf numFmtId="181" fontId="43" fillId="0" borderId="0" applyFont="0" applyFill="0" applyBorder="0" applyAlignment="0" applyProtection="0"/>
    <xf numFmtId="9" fontId="43" fillId="0" borderId="0" applyFont="0" applyFill="0" applyBorder="0" applyAlignment="0" applyProtection="0"/>
    <xf numFmtId="43"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598">
    <xf numFmtId="0" fontId="0" fillId="0" borderId="0" xfId="0"/>
    <xf numFmtId="0" fontId="4" fillId="0" borderId="0" xfId="0" applyFont="1"/>
    <xf numFmtId="0" fontId="4" fillId="0" borderId="6" xfId="0" applyFont="1" applyFill="1" applyBorder="1" applyAlignment="1">
      <alignment horizontal="center" vertical="center" wrapText="1"/>
    </xf>
    <xf numFmtId="3" fontId="3" fillId="0" borderId="0" xfId="0" applyNumberFormat="1" applyFont="1" applyFill="1" applyBorder="1" applyAlignment="1" applyProtection="1">
      <alignment horizontal="center" vertical="center" wrapText="1"/>
    </xf>
    <xf numFmtId="3" fontId="2" fillId="0" borderId="0" xfId="0" applyNumberFormat="1" applyFont="1"/>
    <xf numFmtId="0" fontId="4" fillId="0" borderId="0" xfId="3" applyFont="1" applyAlignment="1"/>
    <xf numFmtId="0" fontId="3" fillId="0" borderId="0" xfId="3" applyFont="1"/>
    <xf numFmtId="0" fontId="5" fillId="0" borderId="0" xfId="0" applyFont="1"/>
    <xf numFmtId="167" fontId="0" fillId="0" borderId="0" xfId="1" applyFont="1"/>
    <xf numFmtId="0" fontId="4" fillId="0" borderId="0" xfId="0" applyFont="1" applyFill="1" applyBorder="1"/>
    <xf numFmtId="0" fontId="3" fillId="0" borderId="0" xfId="13" applyFont="1"/>
    <xf numFmtId="173" fontId="3" fillId="0" borderId="0" xfId="13" applyNumberFormat="1" applyFont="1"/>
    <xf numFmtId="169" fontId="11" fillId="0" borderId="0" xfId="2" applyNumberFormat="1" applyFont="1" applyFill="1" applyBorder="1" applyAlignment="1" applyProtection="1">
      <alignment horizontal="center" vertical="center" wrapText="1"/>
    </xf>
    <xf numFmtId="0" fontId="13" fillId="0" borderId="52" xfId="0" applyFont="1" applyFill="1" applyBorder="1" applyAlignment="1">
      <alignment horizontal="center"/>
    </xf>
    <xf numFmtId="0" fontId="13" fillId="0" borderId="19" xfId="0" applyFont="1" applyFill="1" applyBorder="1" applyAlignment="1">
      <alignment horizontal="center"/>
    </xf>
    <xf numFmtId="0" fontId="13" fillId="0" borderId="44" xfId="0" applyFont="1" applyFill="1" applyBorder="1" applyAlignment="1">
      <alignment horizontal="center"/>
    </xf>
    <xf numFmtId="0" fontId="12" fillId="0" borderId="52" xfId="0" applyFont="1" applyFill="1" applyBorder="1" applyAlignment="1"/>
    <xf numFmtId="0" fontId="12" fillId="0" borderId="19" xfId="0" applyFont="1" applyFill="1" applyBorder="1" applyAlignment="1"/>
    <xf numFmtId="0" fontId="12" fillId="0" borderId="53" xfId="0" applyFont="1" applyFill="1" applyBorder="1" applyAlignment="1"/>
    <xf numFmtId="0" fontId="12" fillId="0" borderId="0" xfId="0" applyFont="1" applyFill="1" applyBorder="1" applyAlignment="1"/>
    <xf numFmtId="169" fontId="12" fillId="0" borderId="18" xfId="0" applyNumberFormat="1" applyFont="1" applyFill="1" applyBorder="1" applyAlignment="1"/>
    <xf numFmtId="0" fontId="12" fillId="0" borderId="18" xfId="0" applyFont="1" applyFill="1" applyBorder="1" applyAlignment="1"/>
    <xf numFmtId="0" fontId="12" fillId="0" borderId="54" xfId="0" applyFont="1" applyFill="1" applyBorder="1" applyAlignment="1"/>
    <xf numFmtId="0" fontId="12" fillId="0" borderId="22" xfId="0" applyFont="1" applyFill="1" applyBorder="1" applyAlignment="1"/>
    <xf numFmtId="166" fontId="12" fillId="0" borderId="50" xfId="0" applyNumberFormat="1" applyFont="1" applyFill="1" applyBorder="1" applyAlignment="1"/>
    <xf numFmtId="0" fontId="12" fillId="0" borderId="0" xfId="0" applyFont="1" applyFill="1"/>
    <xf numFmtId="0" fontId="13" fillId="0" borderId="52" xfId="10" applyFont="1" applyFill="1" applyBorder="1" applyAlignment="1">
      <alignment horizontal="center"/>
    </xf>
    <xf numFmtId="0" fontId="12" fillId="0" borderId="19" xfId="10" applyFont="1" applyFill="1" applyBorder="1"/>
    <xf numFmtId="0" fontId="12" fillId="0" borderId="44" xfId="10" applyFont="1" applyFill="1" applyBorder="1"/>
    <xf numFmtId="3" fontId="12" fillId="0" borderId="52" xfId="10" applyNumberFormat="1" applyFont="1" applyFill="1" applyBorder="1" applyAlignment="1" applyProtection="1">
      <alignment horizontal="left" vertical="center" wrapText="1"/>
    </xf>
    <xf numFmtId="3" fontId="12" fillId="0" borderId="19" xfId="10" applyNumberFormat="1" applyFont="1" applyFill="1" applyBorder="1" applyAlignment="1" applyProtection="1">
      <alignment horizontal="center" vertical="center" wrapText="1"/>
    </xf>
    <xf numFmtId="169" fontId="12" fillId="0" borderId="44" xfId="10" applyNumberFormat="1" applyFont="1" applyFill="1" applyBorder="1" applyAlignment="1" applyProtection="1">
      <alignment horizontal="right" vertical="center" wrapText="1"/>
    </xf>
    <xf numFmtId="3" fontId="12" fillId="0" borderId="53" xfId="10" applyNumberFormat="1" applyFont="1" applyFill="1" applyBorder="1" applyAlignment="1" applyProtection="1">
      <alignment horizontal="left" vertical="center" wrapText="1"/>
    </xf>
    <xf numFmtId="3" fontId="12" fillId="0" borderId="0" xfId="10" applyNumberFormat="1" applyFont="1" applyFill="1" applyBorder="1" applyAlignment="1" applyProtection="1">
      <alignment horizontal="center" vertical="center" wrapText="1"/>
    </xf>
    <xf numFmtId="169" fontId="12" fillId="0" borderId="18" xfId="10" applyNumberFormat="1" applyFont="1" applyFill="1" applyBorder="1" applyAlignment="1" applyProtection="1">
      <alignment horizontal="right" vertical="center" wrapText="1"/>
    </xf>
    <xf numFmtId="3" fontId="13" fillId="0" borderId="52" xfId="9" applyNumberFormat="1" applyFont="1" applyFill="1" applyBorder="1" applyAlignment="1" applyProtection="1">
      <alignment horizontal="left" vertical="center" wrapText="1"/>
    </xf>
    <xf numFmtId="3" fontId="12" fillId="0" borderId="19" xfId="9" applyNumberFormat="1" applyFont="1" applyFill="1" applyBorder="1" applyAlignment="1" applyProtection="1">
      <alignment horizontal="center" vertical="center" wrapText="1"/>
    </xf>
    <xf numFmtId="169" fontId="12" fillId="0" borderId="44" xfId="9" applyNumberFormat="1" applyFont="1" applyFill="1" applyBorder="1" applyAlignment="1" applyProtection="1">
      <alignment horizontal="right" vertical="center" wrapText="1"/>
    </xf>
    <xf numFmtId="3" fontId="12" fillId="0" borderId="53" xfId="9" applyNumberFormat="1" applyFont="1" applyFill="1" applyBorder="1" applyAlignment="1" applyProtection="1">
      <alignment horizontal="left" vertical="center" wrapText="1"/>
    </xf>
    <xf numFmtId="3" fontId="12" fillId="0" borderId="0" xfId="9" applyNumberFormat="1" applyFont="1" applyFill="1" applyBorder="1" applyAlignment="1" applyProtection="1">
      <alignment horizontal="center" vertical="center" wrapText="1"/>
    </xf>
    <xf numFmtId="170" fontId="12" fillId="0" borderId="18" xfId="9" applyNumberFormat="1" applyFont="1" applyFill="1" applyBorder="1" applyAlignment="1" applyProtection="1">
      <alignment horizontal="right" vertical="center" wrapText="1"/>
    </xf>
    <xf numFmtId="3" fontId="12" fillId="0" borderId="54" xfId="9" applyNumberFormat="1" applyFont="1" applyFill="1" applyBorder="1" applyAlignment="1" applyProtection="1">
      <alignment horizontal="left" vertical="center" wrapText="1"/>
    </xf>
    <xf numFmtId="3" fontId="12" fillId="0" borderId="22" xfId="9" applyNumberFormat="1" applyFont="1" applyFill="1" applyBorder="1" applyAlignment="1" applyProtection="1">
      <alignment horizontal="center" vertical="center" wrapText="1"/>
    </xf>
    <xf numFmtId="170" fontId="12" fillId="0" borderId="50" xfId="9" applyNumberFormat="1" applyFont="1" applyFill="1" applyBorder="1" applyAlignment="1" applyProtection="1">
      <alignment horizontal="right" vertical="center" wrapText="1"/>
    </xf>
    <xf numFmtId="3" fontId="12" fillId="0" borderId="52" xfId="12" applyNumberFormat="1" applyFont="1" applyFill="1" applyBorder="1" applyAlignment="1" applyProtection="1">
      <alignment horizontal="left" vertical="center" wrapText="1"/>
    </xf>
    <xf numFmtId="3" fontId="12" fillId="0" borderId="0" xfId="12" applyNumberFormat="1" applyFont="1" applyFill="1" applyBorder="1" applyAlignment="1" applyProtection="1">
      <alignment horizontal="center" vertical="center" wrapText="1"/>
    </xf>
    <xf numFmtId="169" fontId="12" fillId="0" borderId="18" xfId="12" applyNumberFormat="1" applyFont="1" applyFill="1" applyBorder="1" applyAlignment="1" applyProtection="1">
      <alignment horizontal="right" vertical="center" wrapText="1"/>
    </xf>
    <xf numFmtId="3" fontId="12" fillId="0" borderId="53" xfId="12" applyNumberFormat="1" applyFont="1" applyFill="1" applyBorder="1" applyAlignment="1" applyProtection="1">
      <alignment horizontal="left" vertical="center" wrapText="1"/>
    </xf>
    <xf numFmtId="3" fontId="12" fillId="0" borderId="54" xfId="12" applyNumberFormat="1" applyFont="1" applyFill="1" applyBorder="1" applyAlignment="1" applyProtection="1">
      <alignment horizontal="left" vertical="center" wrapText="1"/>
    </xf>
    <xf numFmtId="3" fontId="12" fillId="0" borderId="22" xfId="12" applyNumberFormat="1" applyFont="1" applyFill="1" applyBorder="1" applyAlignment="1" applyProtection="1">
      <alignment horizontal="center" vertical="center" wrapText="1"/>
    </xf>
    <xf numFmtId="169" fontId="12" fillId="0" borderId="50" xfId="12" applyNumberFormat="1" applyFont="1" applyFill="1" applyBorder="1" applyAlignment="1" applyProtection="1">
      <alignment horizontal="right" vertical="center" wrapText="1"/>
    </xf>
    <xf numFmtId="3" fontId="15" fillId="0" borderId="6" xfId="11" applyNumberFormat="1" applyFont="1" applyFill="1" applyBorder="1" applyAlignment="1" applyProtection="1">
      <alignment horizontal="left" vertical="center" wrapText="1"/>
    </xf>
    <xf numFmtId="0" fontId="16" fillId="0" borderId="5" xfId="11" applyFont="1" applyFill="1" applyBorder="1"/>
    <xf numFmtId="169" fontId="16" fillId="0" borderId="11" xfId="11" applyNumberFormat="1" applyFont="1" applyFill="1" applyBorder="1" applyAlignment="1" applyProtection="1">
      <alignment horizontal="center" vertical="center" wrapText="1"/>
    </xf>
    <xf numFmtId="9" fontId="15" fillId="0" borderId="11" xfId="11" applyNumberFormat="1" applyFont="1" applyFill="1" applyBorder="1"/>
    <xf numFmtId="3" fontId="17" fillId="0" borderId="6" xfId="11" applyNumberFormat="1" applyFont="1" applyFill="1" applyBorder="1" applyAlignment="1" applyProtection="1">
      <alignment horizontal="left" vertical="center" wrapText="1"/>
    </xf>
    <xf numFmtId="10" fontId="12" fillId="0" borderId="44" xfId="0" applyNumberFormat="1" applyFont="1" applyFill="1" applyBorder="1" applyAlignment="1"/>
    <xf numFmtId="0" fontId="4" fillId="0" borderId="0" xfId="0" applyFont="1" applyBorder="1"/>
    <xf numFmtId="0" fontId="4" fillId="0" borderId="5" xfId="0" applyFont="1" applyFill="1" applyBorder="1"/>
    <xf numFmtId="0" fontId="4" fillId="0" borderId="0" xfId="3" applyFont="1" applyAlignment="1">
      <alignment horizontal="center"/>
    </xf>
    <xf numFmtId="172" fontId="0" fillId="0" borderId="0" xfId="0" applyNumberFormat="1"/>
    <xf numFmtId="172" fontId="0" fillId="0" borderId="3" xfId="0" applyNumberFormat="1" applyBorder="1"/>
    <xf numFmtId="172" fontId="0" fillId="0" borderId="48" xfId="1" applyNumberFormat="1" applyFont="1" applyBorder="1"/>
    <xf numFmtId="172" fontId="0" fillId="0" borderId="70" xfId="1" applyNumberFormat="1" applyFont="1" applyBorder="1"/>
    <xf numFmtId="172" fontId="0" fillId="0" borderId="49" xfId="0" applyNumberFormat="1"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0" fillId="0" borderId="4" xfId="0" applyBorder="1"/>
    <xf numFmtId="0" fontId="0" fillId="0" borderId="36" xfId="0" applyBorder="1"/>
    <xf numFmtId="0" fontId="0" fillId="0" borderId="37" xfId="0" applyBorder="1"/>
    <xf numFmtId="0" fontId="0" fillId="0" borderId="42" xfId="0" applyBorder="1"/>
    <xf numFmtId="0" fontId="0" fillId="0" borderId="38" xfId="0" applyBorder="1"/>
    <xf numFmtId="172" fontId="0" fillId="0" borderId="33" xfId="0" applyNumberFormat="1" applyBorder="1"/>
    <xf numFmtId="0" fontId="0" fillId="0" borderId="0" xfId="0" applyBorder="1"/>
    <xf numFmtId="0" fontId="0" fillId="0" borderId="0" xfId="0"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wrapText="1"/>
    </xf>
    <xf numFmtId="9" fontId="0" fillId="0" borderId="39" xfId="2" applyFont="1" applyBorder="1"/>
    <xf numFmtId="0" fontId="2" fillId="0" borderId="40" xfId="0" applyFont="1" applyBorder="1" applyAlignment="1">
      <alignment horizontal="center"/>
    </xf>
    <xf numFmtId="172" fontId="0" fillId="0" borderId="71" xfId="1" applyNumberFormat="1" applyFont="1" applyBorder="1"/>
    <xf numFmtId="172" fontId="2" fillId="0" borderId="0" xfId="0" applyNumberFormat="1" applyFont="1" applyFill="1" applyBorder="1"/>
    <xf numFmtId="167" fontId="0" fillId="0" borderId="0" xfId="0" applyNumberFormat="1"/>
    <xf numFmtId="0" fontId="19" fillId="0" borderId="0" xfId="0" applyFont="1" applyFill="1" applyAlignment="1">
      <alignment horizontal="justify" vertical="center" wrapText="1"/>
    </xf>
    <xf numFmtId="0" fontId="19" fillId="0" borderId="0" xfId="0" applyFont="1"/>
    <xf numFmtId="0" fontId="7" fillId="3" borderId="3" xfId="6" applyFont="1" applyFill="1" applyBorder="1" applyAlignment="1">
      <alignment horizontal="left"/>
    </xf>
    <xf numFmtId="0" fontId="19" fillId="0" borderId="0" xfId="0" applyFont="1" applyAlignment="1">
      <alignment horizontal="justify" vertical="top" wrapText="1"/>
    </xf>
    <xf numFmtId="0" fontId="11" fillId="5" borderId="3" xfId="6" applyFont="1" applyFill="1" applyBorder="1" applyAlignment="1">
      <alignment horizontal="left"/>
    </xf>
    <xf numFmtId="172" fontId="19" fillId="0" borderId="0" xfId="0" applyNumberFormat="1" applyFont="1"/>
    <xf numFmtId="0" fontId="20" fillId="0" borderId="0" xfId="0" applyFont="1" applyFill="1" applyAlignment="1">
      <alignment vertical="center" wrapText="1"/>
    </xf>
    <xf numFmtId="14" fontId="3" fillId="0" borderId="3" xfId="0" applyNumberFormat="1" applyFont="1" applyFill="1" applyBorder="1" applyAlignment="1" applyProtection="1">
      <alignment horizontal="right"/>
    </xf>
    <xf numFmtId="0" fontId="4" fillId="0" borderId="2" xfId="0" applyFont="1" applyFill="1" applyBorder="1"/>
    <xf numFmtId="0" fontId="0" fillId="0" borderId="3" xfId="0" applyBorder="1"/>
    <xf numFmtId="0" fontId="4" fillId="0" borderId="0" xfId="0" applyFont="1" applyFill="1"/>
    <xf numFmtId="0" fontId="22" fillId="0" borderId="0" xfId="13" applyFont="1"/>
    <xf numFmtId="176" fontId="0" fillId="0" borderId="0" xfId="17" applyNumberFormat="1" applyFont="1"/>
    <xf numFmtId="176" fontId="0" fillId="0" borderId="3" xfId="17" applyNumberFormat="1" applyFont="1" applyBorder="1"/>
    <xf numFmtId="0" fontId="2" fillId="0" borderId="3" xfId="0" applyFont="1" applyBorder="1" applyAlignment="1">
      <alignment horizontal="center" vertical="center"/>
    </xf>
    <xf numFmtId="14" fontId="3" fillId="0" borderId="33" xfId="0" applyNumberFormat="1" applyFont="1" applyFill="1" applyBorder="1" applyAlignment="1" applyProtection="1">
      <alignment horizontal="right"/>
    </xf>
    <xf numFmtId="14" fontId="3" fillId="0" borderId="37" xfId="0" applyNumberFormat="1" applyFont="1" applyFill="1" applyBorder="1" applyAlignment="1" applyProtection="1">
      <alignment horizontal="right"/>
    </xf>
    <xf numFmtId="14" fontId="3" fillId="0" borderId="14" xfId="0" applyNumberFormat="1" applyFont="1" applyFill="1" applyBorder="1" applyAlignment="1" applyProtection="1">
      <alignment horizontal="right"/>
    </xf>
    <xf numFmtId="0" fontId="4" fillId="0" borderId="41" xfId="0" applyFont="1" applyFill="1" applyBorder="1"/>
    <xf numFmtId="0" fontId="3" fillId="0" borderId="16" xfId="0" applyFont="1" applyFill="1" applyBorder="1"/>
    <xf numFmtId="0" fontId="4" fillId="0" borderId="6" xfId="0" applyFont="1" applyFill="1" applyBorder="1"/>
    <xf numFmtId="0" fontId="3" fillId="0" borderId="15" xfId="0" applyFont="1" applyFill="1" applyBorder="1"/>
    <xf numFmtId="0" fontId="3" fillId="0" borderId="17" xfId="0" applyFont="1" applyFill="1" applyBorder="1"/>
    <xf numFmtId="165" fontId="19" fillId="0" borderId="0" xfId="17" applyFont="1"/>
    <xf numFmtId="167" fontId="20" fillId="11" borderId="3" xfId="1"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0" borderId="4" xfId="0" applyFont="1" applyBorder="1" applyAlignment="1">
      <alignment vertical="center" wrapText="1"/>
    </xf>
    <xf numFmtId="0" fontId="4" fillId="0" borderId="0" xfId="0" applyFont="1" applyAlignment="1">
      <alignment horizontal="center"/>
    </xf>
    <xf numFmtId="0" fontId="10" fillId="0" borderId="0" xfId="0" applyFont="1"/>
    <xf numFmtId="0" fontId="9" fillId="0" borderId="41"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20" fillId="0" borderId="0" xfId="0" applyFont="1" applyFill="1" applyAlignment="1">
      <alignment horizontal="center" vertical="top" wrapText="1"/>
    </xf>
    <xf numFmtId="14" fontId="3" fillId="0" borderId="47" xfId="0" applyNumberFormat="1" applyFont="1" applyFill="1" applyBorder="1" applyAlignment="1" applyProtection="1">
      <alignment horizontal="right"/>
    </xf>
    <xf numFmtId="14" fontId="3" fillId="0" borderId="35" xfId="0" applyNumberFormat="1" applyFont="1" applyFill="1" applyBorder="1" applyAlignment="1" applyProtection="1">
      <alignment horizontal="right"/>
    </xf>
    <xf numFmtId="0" fontId="2" fillId="0" borderId="0" xfId="0" applyFont="1"/>
    <xf numFmtId="0" fontId="19" fillId="0" borderId="58" xfId="0" applyFont="1" applyFill="1" applyBorder="1" applyAlignment="1">
      <alignment horizontal="center" vertical="center" wrapText="1"/>
    </xf>
    <xf numFmtId="0" fontId="7" fillId="10" borderId="4" xfId="6" applyFont="1" applyFill="1" applyBorder="1" applyAlignment="1">
      <alignment horizontal="left" vertical="center"/>
    </xf>
    <xf numFmtId="172" fontId="19" fillId="0" borderId="3" xfId="1" applyNumberFormat="1" applyFont="1" applyFill="1" applyBorder="1" applyAlignment="1">
      <alignment horizontal="justify" vertical="center" wrapText="1"/>
    </xf>
    <xf numFmtId="172" fontId="19" fillId="0" borderId="12" xfId="1" applyNumberFormat="1" applyFont="1" applyFill="1" applyBorder="1" applyAlignment="1">
      <alignment horizontal="justify" vertical="center" wrapText="1"/>
    </xf>
    <xf numFmtId="0" fontId="19" fillId="0" borderId="4"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19" fillId="0" borderId="4" xfId="0" applyFont="1" applyFill="1" applyBorder="1" applyAlignment="1">
      <alignment vertical="center" wrapText="1"/>
    </xf>
    <xf numFmtId="0" fontId="19" fillId="0" borderId="79" xfId="0" applyFont="1" applyFill="1" applyBorder="1" applyAlignment="1">
      <alignment horizontal="justify" vertical="center" wrapText="1"/>
    </xf>
    <xf numFmtId="3" fontId="10" fillId="0" borderId="0" xfId="0" applyNumberFormat="1" applyFont="1"/>
    <xf numFmtId="172" fontId="19" fillId="0" borderId="4" xfId="1" applyNumberFormat="1" applyFont="1" applyFill="1" applyBorder="1" applyAlignment="1">
      <alignment horizontal="justify" vertical="center" wrapText="1"/>
    </xf>
    <xf numFmtId="172" fontId="20" fillId="10" borderId="12" xfId="1" applyNumberFormat="1" applyFont="1" applyFill="1" applyBorder="1" applyAlignment="1">
      <alignment vertical="center"/>
    </xf>
    <xf numFmtId="172" fontId="7" fillId="10" borderId="3" xfId="6" applyNumberFormat="1" applyFont="1" applyFill="1" applyBorder="1" applyAlignment="1">
      <alignment horizontal="left" vertical="center"/>
    </xf>
    <xf numFmtId="0" fontId="20" fillId="11" borderId="58" xfId="0" applyFont="1" applyFill="1" applyBorder="1" applyAlignment="1">
      <alignment horizontal="center" vertical="center" wrapText="1"/>
    </xf>
    <xf numFmtId="0" fontId="20" fillId="11" borderId="79" xfId="0" applyFont="1" applyFill="1" applyBorder="1" applyAlignment="1">
      <alignment horizontal="justify" vertical="center" wrapText="1"/>
    </xf>
    <xf numFmtId="172" fontId="19" fillId="10" borderId="79" xfId="1" applyNumberFormat="1" applyFont="1" applyFill="1" applyBorder="1" applyAlignment="1">
      <alignment vertical="center"/>
    </xf>
    <xf numFmtId="172" fontId="19" fillId="0" borderId="3" xfId="1" applyNumberFormat="1" applyFont="1" applyFill="1" applyBorder="1" applyAlignment="1">
      <alignment horizontal="left" vertical="center" wrapText="1"/>
    </xf>
    <xf numFmtId="172" fontId="19" fillId="0" borderId="4" xfId="1" applyNumberFormat="1" applyFont="1" applyFill="1" applyBorder="1" applyAlignment="1">
      <alignment horizontal="right" vertical="center" wrapText="1"/>
    </xf>
    <xf numFmtId="9" fontId="19" fillId="0" borderId="0" xfId="0" applyNumberFormat="1" applyFont="1"/>
    <xf numFmtId="172" fontId="20" fillId="11" borderId="3" xfId="1" applyNumberFormat="1" applyFont="1" applyFill="1" applyBorder="1" applyAlignment="1">
      <alignment horizontal="right" vertical="center" wrapText="1"/>
    </xf>
    <xf numFmtId="172" fontId="20" fillId="11" borderId="4" xfId="1" applyNumberFormat="1" applyFont="1" applyFill="1" applyBorder="1" applyAlignment="1">
      <alignment horizontal="right" vertical="center" wrapText="1"/>
    </xf>
    <xf numFmtId="172" fontId="20" fillId="10" borderId="4" xfId="1" applyNumberFormat="1" applyFont="1" applyFill="1" applyBorder="1" applyAlignment="1">
      <alignment horizontal="right" vertical="center"/>
    </xf>
    <xf numFmtId="172" fontId="20" fillId="10" borderId="3" xfId="1" applyNumberFormat="1" applyFont="1" applyFill="1" applyBorder="1" applyAlignment="1">
      <alignment horizontal="left" vertical="center"/>
    </xf>
    <xf numFmtId="176" fontId="19" fillId="0" borderId="0" xfId="17" applyNumberFormat="1" applyFont="1"/>
    <xf numFmtId="176" fontId="19" fillId="0" borderId="72" xfId="17" applyNumberFormat="1" applyFont="1" applyBorder="1"/>
    <xf numFmtId="176" fontId="19" fillId="0" borderId="72" xfId="0" applyNumberFormat="1" applyFont="1" applyBorder="1"/>
    <xf numFmtId="176" fontId="19" fillId="0" borderId="0" xfId="0" applyNumberFormat="1" applyFont="1"/>
    <xf numFmtId="0" fontId="20" fillId="11" borderId="1" xfId="0" applyFont="1" applyFill="1" applyBorder="1" applyAlignment="1">
      <alignment horizontal="left" vertical="center" wrapText="1"/>
    </xf>
    <xf numFmtId="176" fontId="0" fillId="0" borderId="0" xfId="0" applyNumberFormat="1"/>
    <xf numFmtId="177" fontId="0" fillId="0" borderId="0" xfId="17" applyNumberFormat="1" applyFont="1"/>
    <xf numFmtId="176" fontId="28" fillId="0" borderId="0" xfId="17" applyNumberFormat="1" applyFont="1"/>
    <xf numFmtId="165" fontId="28" fillId="0" borderId="0" xfId="17" applyFont="1"/>
    <xf numFmtId="176" fontId="29" fillId="0" borderId="0" xfId="17" applyNumberFormat="1" applyFont="1"/>
    <xf numFmtId="165" fontId="29" fillId="0" borderId="0" xfId="17" applyFont="1"/>
    <xf numFmtId="10" fontId="19" fillId="0" borderId="0" xfId="2" applyNumberFormat="1" applyFont="1" applyAlignment="1">
      <alignment horizontal="center"/>
    </xf>
    <xf numFmtId="0" fontId="3" fillId="0" borderId="69" xfId="0" applyFont="1" applyFill="1" applyBorder="1"/>
    <xf numFmtId="14" fontId="3" fillId="0" borderId="0" xfId="0" applyNumberFormat="1" applyFont="1" applyFill="1" applyBorder="1" applyAlignment="1" applyProtection="1">
      <alignment horizontal="right"/>
    </xf>
    <xf numFmtId="176" fontId="10" fillId="0" borderId="0" xfId="17" applyNumberFormat="1" applyFont="1"/>
    <xf numFmtId="0" fontId="4" fillId="0" borderId="0" xfId="0" applyFont="1" applyAlignment="1">
      <alignment horizontal="center"/>
    </xf>
    <xf numFmtId="176" fontId="3" fillId="0" borderId="0" xfId="17" applyNumberFormat="1" applyFont="1" applyFill="1" applyBorder="1" applyAlignment="1" applyProtection="1">
      <alignment horizontal="center" vertical="center" wrapText="1"/>
    </xf>
    <xf numFmtId="0" fontId="10" fillId="0" borderId="0" xfId="0" applyFont="1" applyAlignment="1">
      <alignment horizontal="center"/>
    </xf>
    <xf numFmtId="0" fontId="4" fillId="0" borderId="0" xfId="0" applyFont="1" applyBorder="1" applyAlignment="1">
      <alignment horizontal="center"/>
    </xf>
    <xf numFmtId="1" fontId="10" fillId="0" borderId="37" xfId="0" applyNumberFormat="1" applyFont="1" applyFill="1" applyBorder="1" applyAlignment="1">
      <alignment horizontal="center"/>
    </xf>
    <xf numFmtId="0" fontId="4" fillId="0" borderId="2" xfId="0" applyFont="1" applyFill="1" applyBorder="1" applyAlignment="1">
      <alignment horizontal="center"/>
    </xf>
    <xf numFmtId="0" fontId="4" fillId="0" borderId="5" xfId="0" applyFont="1" applyFill="1" applyBorder="1" applyAlignment="1">
      <alignment horizontal="center"/>
    </xf>
    <xf numFmtId="0" fontId="4" fillId="0" borderId="0" xfId="0" applyFont="1" applyFill="1" applyBorder="1" applyAlignment="1">
      <alignment horizontal="center"/>
    </xf>
    <xf numFmtId="1" fontId="10" fillId="0" borderId="33" xfId="0" applyNumberFormat="1" applyFont="1" applyFill="1" applyBorder="1" applyAlignment="1">
      <alignment horizontal="center"/>
    </xf>
    <xf numFmtId="0" fontId="4" fillId="0" borderId="0" xfId="0" applyFont="1" applyFill="1" applyAlignment="1">
      <alignment horizontal="center"/>
    </xf>
    <xf numFmtId="1" fontId="10" fillId="0" borderId="0" xfId="0" applyNumberFormat="1" applyFont="1" applyFill="1" applyBorder="1" applyAlignment="1">
      <alignment horizontal="center"/>
    </xf>
    <xf numFmtId="9" fontId="0" fillId="0" borderId="0" xfId="2" applyFont="1"/>
    <xf numFmtId="0" fontId="4" fillId="0" borderId="0" xfId="13" applyFont="1"/>
    <xf numFmtId="0" fontId="3" fillId="0" borderId="0" xfId="13" applyFont="1" applyBorder="1"/>
    <xf numFmtId="10" fontId="3" fillId="0" borderId="0" xfId="2" applyNumberFormat="1" applyFont="1" applyBorder="1"/>
    <xf numFmtId="173" fontId="4" fillId="0" borderId="0" xfId="13" applyNumberFormat="1" applyFont="1"/>
    <xf numFmtId="10" fontId="3" fillId="0" borderId="0" xfId="2" applyNumberFormat="1" applyFont="1"/>
    <xf numFmtId="49" fontId="0" fillId="0" borderId="0" xfId="17" applyNumberFormat="1" applyFont="1" applyAlignment="1">
      <alignment horizontal="center"/>
    </xf>
    <xf numFmtId="3" fontId="0" fillId="0" borderId="3" xfId="0" applyNumberFormat="1" applyBorder="1" applyAlignment="1">
      <alignment horizontal="center"/>
    </xf>
    <xf numFmtId="176" fontId="19" fillId="0" borderId="0" xfId="17" applyNumberFormat="1" applyFont="1" applyFill="1" applyAlignment="1">
      <alignment horizontal="justify" vertical="center" wrapText="1"/>
    </xf>
    <xf numFmtId="0" fontId="4" fillId="0" borderId="0" xfId="0" applyFont="1" applyAlignment="1">
      <alignment horizontal="center"/>
    </xf>
    <xf numFmtId="172" fontId="7" fillId="5" borderId="3" xfId="6" applyNumberFormat="1" applyFont="1" applyFill="1" applyBorder="1" applyAlignment="1">
      <alignment horizontal="left" vertical="center"/>
    </xf>
    <xf numFmtId="172" fontId="19" fillId="0" borderId="37" xfId="1" applyNumberFormat="1" applyFont="1" applyFill="1" applyBorder="1" applyAlignment="1">
      <alignment horizontal="left" vertical="center" wrapText="1"/>
    </xf>
    <xf numFmtId="0" fontId="30" fillId="0" borderId="0" xfId="0" applyFont="1"/>
    <xf numFmtId="3" fontId="20" fillId="10" borderId="3" xfId="0" applyNumberFormat="1" applyFont="1" applyFill="1" applyBorder="1" applyAlignment="1">
      <alignment horizontal="center" vertical="center" wrapText="1"/>
    </xf>
    <xf numFmtId="0" fontId="20" fillId="10" borderId="58" xfId="0" applyFont="1" applyFill="1" applyBorder="1" applyAlignment="1">
      <alignment horizontal="center" vertical="center" wrapText="1"/>
    </xf>
    <xf numFmtId="10" fontId="19" fillId="0" borderId="0" xfId="2" applyNumberFormat="1" applyFont="1" applyFill="1" applyAlignment="1">
      <alignment horizontal="right" vertical="center" wrapText="1"/>
    </xf>
    <xf numFmtId="0" fontId="20" fillId="10" borderId="3" xfId="0" applyFont="1" applyFill="1" applyBorder="1" applyAlignment="1">
      <alignment horizontal="center" vertical="center"/>
    </xf>
    <xf numFmtId="0" fontId="20" fillId="10" borderId="58" xfId="0" applyFont="1" applyFill="1" applyBorder="1" applyAlignment="1">
      <alignment horizontal="center" vertical="center"/>
    </xf>
    <xf numFmtId="49" fontId="19" fillId="10" borderId="79" xfId="1" applyNumberFormat="1" applyFont="1" applyFill="1" applyBorder="1" applyAlignment="1">
      <alignment horizontal="justify" vertical="center"/>
    </xf>
    <xf numFmtId="3"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65" fontId="3" fillId="0" borderId="0" xfId="17" applyFont="1"/>
    <xf numFmtId="0" fontId="11" fillId="0" borderId="4" xfId="0" applyFont="1" applyFill="1" applyBorder="1" applyAlignment="1">
      <alignment horizontal="left" vertical="center" wrapText="1"/>
    </xf>
    <xf numFmtId="172" fontId="11" fillId="0" borderId="3" xfId="1" applyNumberFormat="1" applyFont="1" applyFill="1" applyBorder="1" applyAlignment="1">
      <alignment horizontal="justify" vertical="center" wrapText="1"/>
    </xf>
    <xf numFmtId="0" fontId="20" fillId="11" borderId="34" xfId="0" applyFont="1" applyFill="1" applyBorder="1" applyAlignment="1">
      <alignment horizontal="left" vertical="center" wrapText="1"/>
    </xf>
    <xf numFmtId="3" fontId="20" fillId="11" borderId="35" xfId="0" applyNumberFormat="1" applyFont="1" applyFill="1" applyBorder="1" applyAlignment="1">
      <alignment horizontal="center" vertical="center" wrapText="1"/>
    </xf>
    <xf numFmtId="0" fontId="20" fillId="11" borderId="57" xfId="0" applyFont="1" applyFill="1" applyBorder="1" applyAlignment="1">
      <alignment horizontal="center" vertical="center" wrapText="1"/>
    </xf>
    <xf numFmtId="0" fontId="33" fillId="0" borderId="0" xfId="14" applyFont="1"/>
    <xf numFmtId="176" fontId="33" fillId="0" borderId="0" xfId="17" applyNumberFormat="1" applyFont="1"/>
    <xf numFmtId="0" fontId="20" fillId="11" borderId="90"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81" xfId="0" applyFont="1" applyFill="1" applyBorder="1" applyAlignment="1">
      <alignment horizontal="center" vertical="center" wrapText="1"/>
    </xf>
    <xf numFmtId="172" fontId="20" fillId="11" borderId="35" xfId="1" applyNumberFormat="1" applyFont="1" applyFill="1" applyBorder="1" applyAlignment="1">
      <alignment horizontal="left" vertical="center" wrapText="1"/>
    </xf>
    <xf numFmtId="172" fontId="11" fillId="0" borderId="4" xfId="1" applyNumberFormat="1" applyFont="1" applyFill="1" applyBorder="1" applyAlignment="1">
      <alignment horizontal="justify" vertical="center" wrapText="1"/>
    </xf>
    <xf numFmtId="172" fontId="20" fillId="11" borderId="45" xfId="1" applyNumberFormat="1" applyFont="1" applyFill="1" applyBorder="1" applyAlignment="1">
      <alignment horizontal="center" vertical="center" wrapText="1"/>
    </xf>
    <xf numFmtId="172" fontId="19" fillId="0" borderId="12" xfId="25" applyNumberFormat="1" applyFont="1" applyFill="1" applyBorder="1" applyAlignment="1">
      <alignment horizontal="justify" vertical="center" wrapText="1"/>
    </xf>
    <xf numFmtId="172" fontId="11" fillId="0" borderId="12" xfId="1" applyNumberFormat="1" applyFont="1" applyFill="1" applyBorder="1" applyAlignment="1">
      <alignment horizontal="justify" vertical="center" wrapText="1"/>
    </xf>
    <xf numFmtId="172" fontId="19" fillId="0" borderId="0" xfId="1" applyNumberFormat="1" applyFont="1" applyFill="1" applyAlignment="1">
      <alignment horizontal="justify" vertical="center" wrapText="1"/>
    </xf>
    <xf numFmtId="176" fontId="19" fillId="0" borderId="0" xfId="0" applyNumberFormat="1" applyFont="1" applyFill="1" applyAlignment="1">
      <alignment horizontal="justify" vertical="center" wrapText="1"/>
    </xf>
    <xf numFmtId="0" fontId="20" fillId="11" borderId="48" xfId="0" applyFont="1" applyFill="1" applyBorder="1" applyAlignment="1">
      <alignment horizontal="left" vertical="center" wrapText="1"/>
    </xf>
    <xf numFmtId="0" fontId="19" fillId="0" borderId="0" xfId="0" applyFont="1" applyAlignment="1">
      <alignment horizontal="center" vertical="center"/>
    </xf>
    <xf numFmtId="3" fontId="19" fillId="0" borderId="0" xfId="0" applyNumberFormat="1" applyFont="1" applyFill="1" applyAlignment="1">
      <alignment horizontal="justify" vertical="center" wrapText="1"/>
    </xf>
    <xf numFmtId="0" fontId="20" fillId="11" borderId="7" xfId="0" applyFont="1" applyFill="1" applyBorder="1" applyAlignment="1">
      <alignment horizontal="center" vertical="center" wrapText="1"/>
    </xf>
    <xf numFmtId="172" fontId="20" fillId="11" borderId="8" xfId="1" applyNumberFormat="1" applyFont="1" applyFill="1" applyBorder="1" applyAlignment="1">
      <alignment horizontal="center" vertical="center" wrapText="1"/>
    </xf>
    <xf numFmtId="0" fontId="20" fillId="11" borderId="8" xfId="0" applyFont="1" applyFill="1" applyBorder="1" applyAlignment="1">
      <alignment horizontal="center" vertical="center" wrapText="1"/>
    </xf>
    <xf numFmtId="172" fontId="20" fillId="11" borderId="7" xfId="1" applyNumberFormat="1" applyFont="1" applyFill="1" applyBorder="1" applyAlignment="1">
      <alignment horizontal="center" vertical="center" wrapText="1"/>
    </xf>
    <xf numFmtId="172" fontId="20" fillId="11" borderId="88" xfId="1" applyNumberFormat="1" applyFont="1" applyFill="1" applyBorder="1" applyAlignment="1">
      <alignment horizontal="center" vertical="center" wrapText="1"/>
    </xf>
    <xf numFmtId="10" fontId="20" fillId="11" borderId="52" xfId="2" applyNumberFormat="1" applyFont="1" applyFill="1" applyBorder="1" applyAlignment="1">
      <alignment horizontal="center" vertical="center" wrapText="1"/>
    </xf>
    <xf numFmtId="172" fontId="20" fillId="11" borderId="44" xfId="1" applyNumberFormat="1" applyFont="1" applyFill="1" applyBorder="1" applyAlignment="1">
      <alignment horizontal="center" vertical="center" wrapText="1"/>
    </xf>
    <xf numFmtId="0" fontId="20" fillId="11" borderId="35" xfId="0" applyFont="1" applyFill="1" applyBorder="1" applyAlignment="1">
      <alignment horizontal="center" vertical="top" wrapText="1"/>
    </xf>
    <xf numFmtId="0" fontId="11" fillId="0" borderId="36" xfId="0" applyFont="1" applyBorder="1" applyAlignment="1">
      <alignment vertical="center"/>
    </xf>
    <xf numFmtId="0" fontId="20" fillId="11" borderId="57" xfId="0" applyFont="1" applyFill="1" applyBorder="1" applyAlignment="1">
      <alignment horizontal="center" vertical="top" wrapText="1"/>
    </xf>
    <xf numFmtId="172" fontId="20" fillId="11" borderId="34" xfId="1" applyNumberFormat="1" applyFont="1" applyFill="1" applyBorder="1" applyAlignment="1">
      <alignment horizontal="right" vertical="center" wrapText="1"/>
    </xf>
    <xf numFmtId="172" fontId="20" fillId="10" borderId="12" xfId="1" applyNumberFormat="1" applyFont="1" applyFill="1" applyBorder="1" applyAlignment="1">
      <alignment horizontal="right" vertical="center"/>
    </xf>
    <xf numFmtId="172" fontId="19" fillId="0" borderId="12" xfId="1" applyNumberFormat="1" applyFont="1" applyFill="1" applyBorder="1" applyAlignment="1">
      <alignment horizontal="right" vertical="center" wrapText="1"/>
    </xf>
    <xf numFmtId="172" fontId="19" fillId="0" borderId="36" xfId="1" applyNumberFormat="1" applyFont="1" applyFill="1" applyBorder="1" applyAlignment="1">
      <alignment horizontal="right" vertical="center" wrapText="1"/>
    </xf>
    <xf numFmtId="172" fontId="19" fillId="0" borderId="42" xfId="1" applyNumberFormat="1" applyFont="1" applyFill="1" applyBorder="1" applyAlignment="1">
      <alignment horizontal="justify" vertical="center" wrapText="1"/>
    </xf>
    <xf numFmtId="0" fontId="20" fillId="11" borderId="84" xfId="0" applyFont="1" applyFill="1" applyBorder="1" applyAlignment="1">
      <alignment horizontal="justify" vertical="top" wrapText="1"/>
    </xf>
    <xf numFmtId="0" fontId="19" fillId="0" borderId="80" xfId="0" applyFont="1" applyFill="1" applyBorder="1" applyAlignment="1">
      <alignment horizontal="justify" vertical="center" wrapText="1"/>
    </xf>
    <xf numFmtId="0" fontId="7" fillId="5" borderId="4" xfId="6" applyFont="1" applyFill="1" applyBorder="1" applyAlignment="1">
      <alignment horizontal="left" vertical="center"/>
    </xf>
    <xf numFmtId="165" fontId="33" fillId="0" borderId="0" xfId="17" applyFont="1"/>
    <xf numFmtId="10" fontId="33" fillId="0" borderId="0" xfId="2" applyNumberFormat="1" applyFont="1" applyAlignment="1">
      <alignment horizontal="centerContinuous"/>
    </xf>
    <xf numFmtId="10" fontId="33" fillId="0" borderId="0" xfId="2" applyNumberFormat="1" applyFont="1"/>
    <xf numFmtId="176" fontId="32" fillId="0" borderId="0" xfId="17" applyNumberFormat="1" applyFont="1" applyAlignment="1">
      <alignment horizontal="centerContinuous"/>
    </xf>
    <xf numFmtId="176" fontId="33" fillId="0" borderId="0" xfId="17" applyNumberFormat="1" applyFont="1" applyAlignment="1">
      <alignment horizontal="centerContinuous"/>
    </xf>
    <xf numFmtId="176" fontId="34" fillId="0" borderId="0" xfId="17" applyNumberFormat="1" applyFont="1" applyBorder="1" applyAlignment="1">
      <alignment horizontal="center"/>
    </xf>
    <xf numFmtId="176" fontId="34" fillId="0" borderId="22" xfId="17" applyNumberFormat="1" applyFont="1" applyBorder="1" applyAlignment="1">
      <alignment horizontal="center"/>
    </xf>
    <xf numFmtId="0" fontId="20" fillId="5" borderId="58" xfId="0" applyFont="1" applyFill="1" applyBorder="1" applyAlignment="1">
      <alignment horizontal="center" vertical="center"/>
    </xf>
    <xf numFmtId="10" fontId="20" fillId="11" borderId="44" xfId="2" applyNumberFormat="1" applyFont="1" applyFill="1" applyBorder="1" applyAlignment="1">
      <alignment horizontal="center" vertical="center" wrapText="1"/>
    </xf>
    <xf numFmtId="176" fontId="36" fillId="0" borderId="0" xfId="17" applyNumberFormat="1" applyFont="1"/>
    <xf numFmtId="0" fontId="36" fillId="0" borderId="0" xfId="3" applyFont="1"/>
    <xf numFmtId="0" fontId="35" fillId="0" borderId="0" xfId="3" applyFont="1" applyBorder="1" applyAlignment="1">
      <alignment horizontal="center"/>
    </xf>
    <xf numFmtId="176" fontId="35" fillId="0" borderId="0" xfId="17" applyNumberFormat="1" applyFont="1" applyBorder="1" applyAlignment="1">
      <alignment horizontal="center"/>
    </xf>
    <xf numFmtId="176" fontId="35" fillId="0" borderId="23" xfId="17" applyNumberFormat="1" applyFont="1" applyFill="1" applyBorder="1" applyAlignment="1">
      <alignment horizontal="center" vertical="center"/>
    </xf>
    <xf numFmtId="176" fontId="35" fillId="0" borderId="64" xfId="17" applyNumberFormat="1" applyFont="1" applyFill="1" applyBorder="1" applyAlignment="1">
      <alignment horizontal="center" vertical="center"/>
    </xf>
    <xf numFmtId="10" fontId="35" fillId="0" borderId="62" xfId="2" applyNumberFormat="1" applyFont="1" applyFill="1" applyBorder="1" applyAlignment="1">
      <alignment horizontal="center" vertical="center"/>
    </xf>
    <xf numFmtId="176" fontId="35" fillId="0" borderId="26" xfId="17" applyNumberFormat="1" applyFont="1" applyFill="1" applyBorder="1" applyAlignment="1">
      <alignment horizontal="center" vertical="center" wrapText="1"/>
    </xf>
    <xf numFmtId="176" fontId="35" fillId="0" borderId="26" xfId="17" applyNumberFormat="1" applyFont="1" applyFill="1" applyBorder="1" applyAlignment="1">
      <alignment horizontal="center" vertical="center"/>
    </xf>
    <xf numFmtId="176" fontId="35" fillId="0" borderId="68" xfId="17" applyNumberFormat="1" applyFont="1" applyFill="1" applyBorder="1" applyAlignment="1">
      <alignment horizontal="center" vertical="center"/>
    </xf>
    <xf numFmtId="10" fontId="35" fillId="0" borderId="63" xfId="2" applyNumberFormat="1" applyFont="1" applyFill="1" applyBorder="1" applyAlignment="1">
      <alignment horizontal="center" vertical="center"/>
    </xf>
    <xf numFmtId="0" fontId="35" fillId="5" borderId="29" xfId="3" applyFont="1" applyFill="1" applyBorder="1" applyAlignment="1"/>
    <xf numFmtId="176" fontId="35" fillId="5" borderId="30" xfId="17" applyNumberFormat="1" applyFont="1" applyFill="1" applyBorder="1" applyAlignment="1"/>
    <xf numFmtId="176" fontId="35" fillId="5" borderId="67" xfId="17" applyNumberFormat="1" applyFont="1" applyFill="1" applyBorder="1" applyAlignment="1"/>
    <xf numFmtId="176" fontId="35" fillId="5" borderId="59" xfId="17" applyNumberFormat="1" applyFont="1" applyFill="1" applyBorder="1" applyAlignment="1"/>
    <xf numFmtId="0" fontId="36" fillId="0" borderId="20" xfId="3" applyFont="1" applyBorder="1" applyAlignment="1">
      <alignment horizontal="left" indent="1"/>
    </xf>
    <xf numFmtId="176" fontId="36" fillId="0" borderId="24" xfId="17" applyNumberFormat="1" applyFont="1" applyFill="1" applyBorder="1" applyAlignment="1"/>
    <xf numFmtId="176" fontId="36" fillId="4" borderId="24" xfId="17" applyNumberFormat="1" applyFont="1" applyFill="1" applyBorder="1" applyAlignment="1"/>
    <xf numFmtId="176" fontId="36" fillId="0" borderId="65" xfId="17" applyNumberFormat="1" applyFont="1" applyBorder="1" applyAlignment="1"/>
    <xf numFmtId="176" fontId="36" fillId="0" borderId="77" xfId="17" applyNumberFormat="1" applyFont="1" applyFill="1" applyBorder="1" applyAlignment="1"/>
    <xf numFmtId="176" fontId="36" fillId="0" borderId="24" xfId="17" applyNumberFormat="1" applyFont="1" applyBorder="1" applyAlignment="1"/>
    <xf numFmtId="176" fontId="36" fillId="0" borderId="60" xfId="17" applyNumberFormat="1" applyFont="1" applyBorder="1" applyAlignment="1"/>
    <xf numFmtId="0" fontId="35" fillId="5" borderId="20" xfId="3" applyFont="1" applyFill="1" applyBorder="1" applyAlignment="1"/>
    <xf numFmtId="176" fontId="35" fillId="5" borderId="24" xfId="17" applyNumberFormat="1" applyFont="1" applyFill="1" applyBorder="1" applyAlignment="1"/>
    <xf numFmtId="176" fontId="35" fillId="5" borderId="65" xfId="17" applyNumberFormat="1" applyFont="1" applyFill="1" applyBorder="1" applyAlignment="1"/>
    <xf numFmtId="176" fontId="35" fillId="5" borderId="60" xfId="17" applyNumberFormat="1" applyFont="1" applyFill="1" applyBorder="1" applyAlignment="1"/>
    <xf numFmtId="176" fontId="36" fillId="0" borderId="72" xfId="17" applyNumberFormat="1" applyFont="1" applyBorder="1"/>
    <xf numFmtId="0" fontId="35" fillId="5" borderId="20" xfId="3" applyFont="1" applyFill="1" applyBorder="1" applyAlignment="1">
      <alignment horizontal="centerContinuous"/>
    </xf>
    <xf numFmtId="0" fontId="35" fillId="5" borderId="20" xfId="3" applyFont="1" applyFill="1" applyBorder="1" applyAlignment="1">
      <alignment horizontal="left"/>
    </xf>
    <xf numFmtId="0" fontId="35" fillId="5" borderId="20" xfId="3" applyFont="1" applyFill="1" applyBorder="1" applyAlignment="1">
      <alignment horizontal="left" indent="1"/>
    </xf>
    <xf numFmtId="0" fontId="36" fillId="0" borderId="20" xfId="3" applyFont="1" applyBorder="1" applyAlignment="1">
      <alignment horizontal="left" indent="2"/>
    </xf>
    <xf numFmtId="176" fontId="36" fillId="0" borderId="59" xfId="17" applyNumberFormat="1" applyFont="1" applyBorder="1" applyAlignment="1"/>
    <xf numFmtId="3" fontId="36" fillId="0" borderId="20" xfId="3" applyNumberFormat="1" applyFont="1" applyFill="1" applyBorder="1" applyAlignment="1">
      <alignment horizontal="left" vertical="justify" wrapText="1" indent="2"/>
    </xf>
    <xf numFmtId="176" fontId="36" fillId="0" borderId="24" xfId="17" applyNumberFormat="1" applyFont="1" applyBorder="1"/>
    <xf numFmtId="173" fontId="36" fillId="0" borderId="0" xfId="3" applyNumberFormat="1" applyFont="1"/>
    <xf numFmtId="176" fontId="36" fillId="0" borderId="61" xfId="17" applyNumberFormat="1" applyFont="1" applyBorder="1" applyAlignment="1"/>
    <xf numFmtId="176" fontId="35" fillId="5" borderId="24" xfId="17" applyNumberFormat="1" applyFont="1" applyFill="1" applyBorder="1"/>
    <xf numFmtId="176" fontId="35" fillId="5" borderId="60" xfId="17" applyNumberFormat="1" applyFont="1" applyFill="1" applyBorder="1"/>
    <xf numFmtId="0" fontId="36" fillId="0" borderId="27" xfId="3" applyFont="1" applyBorder="1" applyAlignment="1">
      <alignment horizontal="left" indent="2"/>
    </xf>
    <xf numFmtId="176" fontId="36" fillId="0" borderId="28" xfId="17" applyNumberFormat="1" applyFont="1" applyBorder="1"/>
    <xf numFmtId="176" fontId="36" fillId="4" borderId="28" xfId="17" applyNumberFormat="1" applyFont="1" applyFill="1" applyBorder="1" applyAlignment="1"/>
    <xf numFmtId="0" fontId="35" fillId="5" borderId="31" xfId="3" applyFont="1" applyFill="1" applyBorder="1" applyAlignment="1">
      <alignment horizontal="left" indent="1"/>
    </xf>
    <xf numFmtId="176" fontId="35" fillId="5" borderId="32" xfId="17" applyNumberFormat="1" applyFont="1" applyFill="1" applyBorder="1"/>
    <xf numFmtId="176" fontId="35" fillId="5" borderId="66" xfId="17" applyNumberFormat="1" applyFont="1" applyFill="1" applyBorder="1"/>
    <xf numFmtId="176" fontId="35" fillId="5" borderId="6" xfId="17" applyNumberFormat="1" applyFont="1" applyFill="1" applyBorder="1"/>
    <xf numFmtId="0" fontId="36" fillId="0" borderId="29" xfId="3" applyFont="1" applyBorder="1" applyAlignment="1">
      <alignment horizontal="left" indent="2"/>
    </xf>
    <xf numFmtId="176" fontId="36" fillId="0" borderId="30" xfId="17" applyNumberFormat="1" applyFont="1" applyBorder="1"/>
    <xf numFmtId="176" fontId="36" fillId="0" borderId="67" xfId="17" applyNumberFormat="1" applyFont="1" applyBorder="1" applyAlignment="1"/>
    <xf numFmtId="175" fontId="36" fillId="0" borderId="0" xfId="3" applyNumberFormat="1" applyFont="1"/>
    <xf numFmtId="175" fontId="37" fillId="0" borderId="0" xfId="0" applyNumberFormat="1" applyFont="1" applyFill="1" applyBorder="1"/>
    <xf numFmtId="176" fontId="35" fillId="5" borderId="65" xfId="17" applyNumberFormat="1" applyFont="1" applyFill="1" applyBorder="1"/>
    <xf numFmtId="176" fontId="36" fillId="0" borderId="65" xfId="17" applyNumberFormat="1" applyFont="1" applyBorder="1"/>
    <xf numFmtId="176" fontId="36" fillId="0" borderId="59" xfId="17" applyNumberFormat="1" applyFont="1" applyBorder="1"/>
    <xf numFmtId="176" fontId="36" fillId="0" borderId="60" xfId="17" applyNumberFormat="1" applyFont="1" applyBorder="1"/>
    <xf numFmtId="176" fontId="38" fillId="0" borderId="0" xfId="17" applyNumberFormat="1" applyFont="1"/>
    <xf numFmtId="176" fontId="36" fillId="0" borderId="61" xfId="17" applyNumberFormat="1" applyFont="1" applyBorder="1"/>
    <xf numFmtId="3" fontId="36" fillId="0" borderId="20" xfId="3" applyNumberFormat="1" applyFont="1" applyBorder="1" applyAlignment="1">
      <alignment horizontal="left" vertical="justify" wrapText="1" indent="2"/>
    </xf>
    <xf numFmtId="167" fontId="36" fillId="0" borderId="0" xfId="3" applyNumberFormat="1" applyFont="1"/>
    <xf numFmtId="176" fontId="36" fillId="4" borderId="24" xfId="17" applyNumberFormat="1" applyFont="1" applyFill="1" applyBorder="1"/>
    <xf numFmtId="0" fontId="35" fillId="5" borderId="20" xfId="3" applyFont="1" applyFill="1" applyBorder="1" applyAlignment="1">
      <alignment horizontal="left" indent="2"/>
    </xf>
    <xf numFmtId="176" fontId="35" fillId="4" borderId="28" xfId="17" applyNumberFormat="1" applyFont="1" applyFill="1" applyBorder="1"/>
    <xf numFmtId="176" fontId="36" fillId="0" borderId="91" xfId="17" applyNumberFormat="1" applyFont="1" applyBorder="1" applyAlignment="1"/>
    <xf numFmtId="0" fontId="35" fillId="5" borderId="92" xfId="3" applyFont="1" applyFill="1" applyBorder="1"/>
    <xf numFmtId="176" fontId="35" fillId="5" borderId="23" xfId="17" applyNumberFormat="1" applyFont="1" applyFill="1" applyBorder="1"/>
    <xf numFmtId="176" fontId="35" fillId="5" borderId="64" xfId="17" applyNumberFormat="1" applyFont="1" applyFill="1" applyBorder="1"/>
    <xf numFmtId="176" fontId="35" fillId="5" borderId="62" xfId="17" applyNumberFormat="1" applyFont="1" applyFill="1" applyBorder="1"/>
    <xf numFmtId="0" fontId="35" fillId="5" borderId="20" xfId="3" applyFont="1" applyFill="1" applyBorder="1"/>
    <xf numFmtId="0" fontId="35" fillId="5" borderId="25" xfId="3" applyFont="1" applyFill="1" applyBorder="1"/>
    <xf numFmtId="176" fontId="35" fillId="5" borderId="26" xfId="17" applyNumberFormat="1" applyFont="1" applyFill="1" applyBorder="1"/>
    <xf numFmtId="176" fontId="35" fillId="5" borderId="68" xfId="17" applyNumberFormat="1" applyFont="1" applyFill="1" applyBorder="1"/>
    <xf numFmtId="176" fontId="35" fillId="5" borderId="63" xfId="17" applyNumberFormat="1" applyFont="1" applyFill="1" applyBorder="1"/>
    <xf numFmtId="0" fontId="35" fillId="0" borderId="0" xfId="3" applyFont="1"/>
    <xf numFmtId="0" fontId="38" fillId="0" borderId="0" xfId="3" applyFont="1"/>
    <xf numFmtId="41" fontId="5" fillId="0" borderId="0" xfId="35" applyFont="1"/>
    <xf numFmtId="176" fontId="36" fillId="0" borderId="0" xfId="3" applyNumberFormat="1" applyFont="1"/>
    <xf numFmtId="0" fontId="19" fillId="0" borderId="0" xfId="0" applyFont="1" applyAlignment="1">
      <alignment horizontal="right"/>
    </xf>
    <xf numFmtId="174" fontId="20" fillId="11" borderId="3" xfId="1" applyNumberFormat="1" applyFont="1" applyFill="1" applyBorder="1" applyAlignment="1">
      <alignment horizontal="center" vertical="center" wrapText="1"/>
    </xf>
    <xf numFmtId="172" fontId="20" fillId="11" borderId="3" xfId="1" applyNumberFormat="1" applyFont="1" applyFill="1" applyBorder="1" applyAlignment="1">
      <alignment horizontal="center" vertical="center" wrapText="1"/>
    </xf>
    <xf numFmtId="10" fontId="20" fillId="11" borderId="3" xfId="2" applyNumberFormat="1" applyFont="1" applyFill="1" applyBorder="1" applyAlignment="1">
      <alignment horizontal="center" vertical="center" wrapText="1"/>
    </xf>
    <xf numFmtId="0" fontId="20" fillId="11" borderId="3" xfId="0" applyFont="1" applyFill="1" applyBorder="1" applyAlignment="1">
      <alignment vertical="center" wrapText="1"/>
    </xf>
    <xf numFmtId="175" fontId="20" fillId="11" borderId="3" xfId="1" applyNumberFormat="1" applyFont="1" applyFill="1" applyBorder="1" applyAlignment="1">
      <alignment vertical="center" wrapText="1"/>
    </xf>
    <xf numFmtId="0" fontId="19" fillId="11" borderId="3" xfId="0" applyFont="1" applyFill="1" applyBorder="1" applyAlignment="1">
      <alignment horizontal="justify" vertical="center" wrapText="1"/>
    </xf>
    <xf numFmtId="0" fontId="7" fillId="12" borderId="3" xfId="6" applyFont="1" applyFill="1" applyBorder="1" applyAlignment="1">
      <alignment vertical="center" wrapText="1"/>
    </xf>
    <xf numFmtId="175" fontId="7" fillId="12" borderId="3" xfId="6" applyNumberFormat="1" applyFont="1" applyFill="1" applyBorder="1" applyAlignment="1">
      <alignment vertical="center"/>
    </xf>
    <xf numFmtId="0" fontId="20" fillId="12" borderId="3" xfId="0" applyFont="1" applyFill="1" applyBorder="1" applyAlignment="1">
      <alignment vertical="center"/>
    </xf>
    <xf numFmtId="172" fontId="20" fillId="12" borderId="3" xfId="1" applyNumberFormat="1" applyFont="1" applyFill="1" applyBorder="1" applyAlignment="1">
      <alignment horizontal="right" vertical="center"/>
    </xf>
    <xf numFmtId="0" fontId="19" fillId="12" borderId="3" xfId="0" applyFont="1" applyFill="1" applyBorder="1" applyAlignment="1">
      <alignment horizontal="justify" vertical="center" wrapText="1"/>
    </xf>
    <xf numFmtId="0" fontId="19" fillId="3" borderId="3" xfId="0" applyFont="1" applyFill="1" applyBorder="1" applyAlignment="1">
      <alignment vertical="center" wrapText="1"/>
    </xf>
    <xf numFmtId="172" fontId="19" fillId="3" borderId="3" xfId="1" applyNumberFormat="1" applyFont="1" applyFill="1" applyBorder="1" applyAlignment="1">
      <alignment vertical="center" wrapText="1"/>
    </xf>
    <xf numFmtId="0" fontId="19" fillId="3" borderId="3" xfId="0" applyFont="1" applyFill="1" applyBorder="1" applyAlignment="1">
      <alignment horizontal="center" vertical="center" wrapText="1"/>
    </xf>
    <xf numFmtId="172" fontId="19" fillId="3" borderId="3" xfId="1" applyNumberFormat="1" applyFont="1" applyFill="1" applyBorder="1" applyAlignment="1">
      <alignment horizontal="right" vertical="center" wrapText="1"/>
    </xf>
    <xf numFmtId="0" fontId="19" fillId="0" borderId="3" xfId="0" applyFont="1" applyFill="1" applyBorder="1" applyAlignment="1">
      <alignment horizontal="justify" vertical="center" wrapText="1"/>
    </xf>
    <xf numFmtId="172" fontId="20" fillId="11" borderId="3" xfId="1" applyNumberFormat="1" applyFont="1" applyFill="1" applyBorder="1" applyAlignment="1">
      <alignment vertical="center"/>
    </xf>
    <xf numFmtId="172" fontId="20" fillId="11" borderId="3" xfId="1" applyNumberFormat="1" applyFont="1" applyFill="1" applyBorder="1" applyAlignment="1">
      <alignment horizontal="right" vertical="center"/>
    </xf>
    <xf numFmtId="172" fontId="20" fillId="10" borderId="3" xfId="1" applyNumberFormat="1" applyFont="1" applyFill="1" applyBorder="1" applyAlignment="1">
      <alignment horizontal="right" vertical="center"/>
    </xf>
    <xf numFmtId="0" fontId="19" fillId="10" borderId="3" xfId="0" applyFont="1" applyFill="1" applyBorder="1" applyAlignment="1">
      <alignment horizontal="justify" vertical="center" wrapText="1"/>
    </xf>
    <xf numFmtId="172" fontId="19" fillId="0" borderId="3" xfId="0" applyNumberFormat="1" applyFont="1" applyFill="1" applyBorder="1" applyAlignment="1">
      <alignment horizontal="center" vertical="center" wrapText="1"/>
    </xf>
    <xf numFmtId="172" fontId="19" fillId="3" borderId="3" xfId="1" applyNumberFormat="1" applyFont="1" applyFill="1" applyBorder="1" applyAlignment="1">
      <alignment horizontal="right" vertical="center"/>
    </xf>
    <xf numFmtId="0" fontId="7" fillId="10" borderId="3" xfId="6" applyFont="1" applyFill="1" applyBorder="1" applyAlignment="1">
      <alignment vertical="center"/>
    </xf>
    <xf numFmtId="175" fontId="20" fillId="10" borderId="3" xfId="1" applyNumberFormat="1" applyFont="1" applyFill="1" applyBorder="1" applyAlignment="1">
      <alignment vertical="center"/>
    </xf>
    <xf numFmtId="172" fontId="20" fillId="10" borderId="3" xfId="1" applyNumberFormat="1" applyFont="1" applyFill="1" applyBorder="1" applyAlignment="1">
      <alignment horizontal="center" vertical="center"/>
    </xf>
    <xf numFmtId="0" fontId="19" fillId="3" borderId="3" xfId="0" applyFont="1" applyFill="1" applyBorder="1" applyAlignment="1">
      <alignment horizontal="center" vertical="center"/>
    </xf>
    <xf numFmtId="172" fontId="19" fillId="0" borderId="0" xfId="0" applyNumberFormat="1" applyFont="1" applyAlignment="1">
      <alignment horizontal="right"/>
    </xf>
    <xf numFmtId="172" fontId="40" fillId="14" borderId="6" xfId="3" applyNumberFormat="1" applyFont="1" applyFill="1" applyBorder="1" applyAlignment="1"/>
    <xf numFmtId="0" fontId="10" fillId="0" borderId="0" xfId="0" applyFont="1" applyFill="1"/>
    <xf numFmtId="172" fontId="11" fillId="0" borderId="0" xfId="1" applyNumberFormat="1" applyFont="1" applyAlignment="1">
      <alignment horizontal="justify" vertical="top" wrapText="1"/>
    </xf>
    <xf numFmtId="0" fontId="11" fillId="0" borderId="0" xfId="0" applyFont="1" applyAlignment="1">
      <alignment horizontal="justify" vertical="top" wrapText="1"/>
    </xf>
    <xf numFmtId="172" fontId="7" fillId="0" borderId="3" xfId="1" applyNumberFormat="1" applyFont="1" applyFill="1" applyBorder="1" applyAlignment="1">
      <alignment horizontal="left" vertical="center" wrapText="1"/>
    </xf>
    <xf numFmtId="0" fontId="11" fillId="0" borderId="0" xfId="0" applyFont="1"/>
    <xf numFmtId="165" fontId="33" fillId="0" borderId="0" xfId="17" applyFont="1" applyAlignment="1">
      <alignment horizontal="centerContinuous"/>
    </xf>
    <xf numFmtId="165" fontId="10" fillId="0" borderId="0" xfId="17" applyFont="1"/>
    <xf numFmtId="165" fontId="4" fillId="0" borderId="0" xfId="17" applyFont="1" applyAlignment="1">
      <alignment horizontal="center"/>
    </xf>
    <xf numFmtId="165" fontId="3" fillId="0" borderId="0" xfId="17" applyFont="1" applyAlignment="1">
      <alignment horizontal="center" wrapText="1"/>
    </xf>
    <xf numFmtId="165" fontId="0" fillId="0" borderId="0" xfId="17" applyFont="1"/>
    <xf numFmtId="176" fontId="4" fillId="0" borderId="2" xfId="0" applyNumberFormat="1" applyFont="1" applyFill="1" applyBorder="1" applyAlignment="1">
      <alignment horizontal="center" vertical="center" wrapText="1"/>
    </xf>
    <xf numFmtId="176" fontId="25" fillId="0" borderId="2" xfId="17" applyNumberFormat="1" applyFont="1" applyFill="1" applyBorder="1" applyAlignment="1">
      <alignment horizontal="center" vertical="center" wrapText="1"/>
    </xf>
    <xf numFmtId="176" fontId="4" fillId="0" borderId="2" xfId="17" applyNumberFormat="1" applyFont="1" applyFill="1" applyBorder="1" applyAlignment="1">
      <alignment horizontal="center" vertical="center" wrapText="1"/>
    </xf>
    <xf numFmtId="176" fontId="4" fillId="0" borderId="2" xfId="17" applyNumberFormat="1" applyFont="1" applyFill="1" applyBorder="1" applyAlignment="1" applyProtection="1">
      <alignment horizontal="center" vertical="center" wrapText="1"/>
    </xf>
    <xf numFmtId="176" fontId="4" fillId="0" borderId="10" xfId="17" applyNumberFormat="1" applyFont="1" applyFill="1" applyBorder="1" applyAlignment="1" applyProtection="1">
      <alignment horizontal="center" vertical="center" wrapText="1"/>
    </xf>
    <xf numFmtId="176" fontId="3" fillId="0" borderId="33" xfId="0" applyNumberFormat="1" applyFont="1" applyFill="1" applyBorder="1" applyAlignment="1" applyProtection="1">
      <alignment horizontal="right"/>
    </xf>
    <xf numFmtId="176" fontId="3" fillId="0" borderId="33" xfId="17" applyNumberFormat="1" applyFont="1" applyFill="1" applyBorder="1" applyAlignment="1" applyProtection="1">
      <alignment horizontal="right"/>
    </xf>
    <xf numFmtId="176" fontId="0" fillId="0" borderId="78" xfId="17" applyNumberFormat="1" applyFont="1" applyBorder="1"/>
    <xf numFmtId="176" fontId="0" fillId="0" borderId="39" xfId="17" applyNumberFormat="1" applyFont="1" applyBorder="1"/>
    <xf numFmtId="176" fontId="3" fillId="0" borderId="37" xfId="0" applyNumberFormat="1" applyFont="1" applyFill="1" applyBorder="1" applyAlignment="1" applyProtection="1">
      <alignment horizontal="right"/>
    </xf>
    <xf numFmtId="176" fontId="3" fillId="0" borderId="37" xfId="17" applyNumberFormat="1" applyFont="1" applyFill="1" applyBorder="1" applyAlignment="1" applyProtection="1">
      <alignment horizontal="right"/>
    </xf>
    <xf numFmtId="176" fontId="3" fillId="0" borderId="81" xfId="17" applyNumberFormat="1" applyFont="1" applyFill="1" applyBorder="1" applyAlignment="1" applyProtection="1">
      <alignment horizontal="right"/>
    </xf>
    <xf numFmtId="176" fontId="0" fillId="0" borderId="42" xfId="17" applyNumberFormat="1" applyFont="1" applyBorder="1"/>
    <xf numFmtId="176" fontId="4" fillId="0" borderId="2" xfId="0" applyNumberFormat="1" applyFont="1" applyFill="1" applyBorder="1" applyAlignment="1">
      <alignment horizontal="right"/>
    </xf>
    <xf numFmtId="176" fontId="4" fillId="0" borderId="2" xfId="17" applyNumberFormat="1" applyFont="1" applyFill="1" applyBorder="1" applyAlignment="1">
      <alignment horizontal="right"/>
    </xf>
    <xf numFmtId="176" fontId="4" fillId="0" borderId="40" xfId="17" applyNumberFormat="1" applyFont="1" applyFill="1" applyBorder="1" applyAlignment="1" applyProtection="1">
      <alignment horizontal="right"/>
    </xf>
    <xf numFmtId="176" fontId="2" fillId="0" borderId="6" xfId="17" applyNumberFormat="1" applyFont="1" applyBorder="1"/>
    <xf numFmtId="176" fontId="4" fillId="0" borderId="0" xfId="0" applyNumberFormat="1" applyFont="1" applyAlignment="1">
      <alignment horizontal="center"/>
    </xf>
    <xf numFmtId="176" fontId="4" fillId="0" borderId="0" xfId="2" applyNumberFormat="1" applyFont="1" applyAlignment="1">
      <alignment horizontal="center"/>
    </xf>
    <xf numFmtId="176" fontId="4" fillId="0" borderId="0" xfId="17" applyNumberFormat="1" applyFont="1" applyAlignment="1">
      <alignment horizontal="center"/>
    </xf>
    <xf numFmtId="176" fontId="4" fillId="0" borderId="5" xfId="0" applyNumberFormat="1" applyFont="1" applyFill="1" applyBorder="1" applyAlignment="1">
      <alignment horizontal="right"/>
    </xf>
    <xf numFmtId="176" fontId="24" fillId="0" borderId="5" xfId="0" applyNumberFormat="1" applyFont="1" applyBorder="1"/>
    <xf numFmtId="176" fontId="24" fillId="0" borderId="5" xfId="17" applyNumberFormat="1" applyFont="1" applyBorder="1"/>
    <xf numFmtId="176" fontId="2" fillId="0" borderId="5" xfId="17" applyNumberFormat="1" applyFont="1" applyBorder="1"/>
    <xf numFmtId="176" fontId="2" fillId="0" borderId="11" xfId="17" applyNumberFormat="1" applyFont="1" applyBorder="1"/>
    <xf numFmtId="176" fontId="2" fillId="0" borderId="0" xfId="17" applyNumberFormat="1" applyFont="1"/>
    <xf numFmtId="176" fontId="4" fillId="0" borderId="19" xfId="0" applyNumberFormat="1" applyFont="1" applyFill="1" applyBorder="1" applyAlignment="1">
      <alignment horizontal="right"/>
    </xf>
    <xf numFmtId="176" fontId="24" fillId="0" borderId="0" xfId="17" applyNumberFormat="1" applyFont="1" applyBorder="1"/>
    <xf numFmtId="176" fontId="2" fillId="0" borderId="0" xfId="17" applyNumberFormat="1" applyFont="1" applyBorder="1"/>
    <xf numFmtId="176" fontId="3" fillId="0" borderId="0" xfId="17" applyNumberFormat="1" applyFont="1" applyAlignment="1">
      <alignment horizontal="center" wrapText="1"/>
    </xf>
    <xf numFmtId="176" fontId="3" fillId="0" borderId="0" xfId="17" applyNumberFormat="1" applyFont="1"/>
    <xf numFmtId="176" fontId="3" fillId="0" borderId="35" xfId="17" applyNumberFormat="1" applyFont="1" applyFill="1" applyBorder="1" applyAlignment="1" applyProtection="1">
      <alignment horizontal="right"/>
    </xf>
    <xf numFmtId="176" fontId="0" fillId="0" borderId="45" xfId="17" applyNumberFormat="1" applyFont="1" applyBorder="1"/>
    <xf numFmtId="176" fontId="3" fillId="0" borderId="3" xfId="17" applyNumberFormat="1" applyFont="1" applyFill="1" applyBorder="1" applyAlignment="1" applyProtection="1">
      <alignment horizontal="right"/>
    </xf>
    <xf numFmtId="176" fontId="0" fillId="0" borderId="12" xfId="17" applyNumberFormat="1" applyFont="1" applyBorder="1"/>
    <xf numFmtId="176" fontId="3" fillId="0" borderId="55" xfId="17" applyNumberFormat="1" applyFont="1" applyFill="1" applyBorder="1" applyAlignment="1" applyProtection="1">
      <alignment horizontal="right"/>
    </xf>
    <xf numFmtId="176" fontId="4" fillId="0" borderId="10" xfId="17" applyNumberFormat="1" applyFont="1" applyFill="1" applyBorder="1" applyAlignment="1">
      <alignment horizontal="right"/>
    </xf>
    <xf numFmtId="176" fontId="10" fillId="0" borderId="0" xfId="0" applyNumberFormat="1" applyFont="1"/>
    <xf numFmtId="176" fontId="3" fillId="0" borderId="0" xfId="0" applyNumberFormat="1" applyFont="1" applyFill="1" applyBorder="1" applyAlignment="1">
      <alignment horizontal="right"/>
    </xf>
    <xf numFmtId="176" fontId="3" fillId="0" borderId="74" xfId="17" applyNumberFormat="1" applyFont="1" applyFill="1" applyBorder="1" applyAlignment="1" applyProtection="1">
      <alignment horizontal="right"/>
    </xf>
    <xf numFmtId="176" fontId="0" fillId="0" borderId="21" xfId="17" applyNumberFormat="1" applyFont="1" applyBorder="1"/>
    <xf numFmtId="176" fontId="0" fillId="0" borderId="76" xfId="17" applyNumberFormat="1" applyFont="1" applyBorder="1"/>
    <xf numFmtId="176" fontId="3" fillId="0" borderId="0" xfId="17" applyNumberFormat="1" applyFont="1" applyFill="1" applyBorder="1" applyAlignment="1">
      <alignment horizontal="right"/>
    </xf>
    <xf numFmtId="176" fontId="4" fillId="0" borderId="0" xfId="17" applyNumberFormat="1" applyFont="1" applyFill="1" applyBorder="1" applyAlignment="1">
      <alignment horizontal="right"/>
    </xf>
    <xf numFmtId="176" fontId="0" fillId="0" borderId="33" xfId="17" applyNumberFormat="1" applyFont="1" applyBorder="1"/>
    <xf numFmtId="176" fontId="24" fillId="0" borderId="11" xfId="0" applyNumberFormat="1" applyFont="1" applyBorder="1"/>
    <xf numFmtId="176" fontId="24" fillId="0" borderId="11" xfId="17" applyNumberFormat="1" applyFont="1" applyBorder="1"/>
    <xf numFmtId="176" fontId="4" fillId="0" borderId="6" xfId="17" applyNumberFormat="1" applyFont="1" applyFill="1" applyBorder="1" applyAlignment="1" applyProtection="1">
      <alignment horizontal="right"/>
    </xf>
    <xf numFmtId="176" fontId="3" fillId="0" borderId="75" xfId="0" applyNumberFormat="1" applyFont="1" applyFill="1" applyBorder="1" applyAlignment="1" applyProtection="1">
      <alignment horizontal="right"/>
    </xf>
    <xf numFmtId="176" fontId="3" fillId="0" borderId="75" xfId="17" applyNumberFormat="1" applyFont="1" applyFill="1" applyBorder="1" applyAlignment="1" applyProtection="1">
      <alignment horizontal="right"/>
    </xf>
    <xf numFmtId="176" fontId="0" fillId="0" borderId="0" xfId="17" applyNumberFormat="1" applyFont="1" applyBorder="1"/>
    <xf numFmtId="176" fontId="0" fillId="0" borderId="18" xfId="17" applyNumberFormat="1" applyFont="1" applyBorder="1"/>
    <xf numFmtId="176" fontId="4" fillId="0" borderId="1" xfId="17" applyNumberFormat="1" applyFont="1" applyFill="1" applyBorder="1" applyAlignment="1">
      <alignment horizontal="right"/>
    </xf>
    <xf numFmtId="176" fontId="4" fillId="0" borderId="6" xfId="17" applyNumberFormat="1" applyFont="1" applyFill="1" applyBorder="1" applyAlignment="1">
      <alignment horizontal="right"/>
    </xf>
    <xf numFmtId="165" fontId="36" fillId="0" borderId="0" xfId="17" applyFont="1"/>
    <xf numFmtId="165" fontId="38" fillId="0" borderId="0" xfId="17" applyFont="1"/>
    <xf numFmtId="176" fontId="36" fillId="0" borderId="65" xfId="17" applyNumberFormat="1" applyFont="1" applyFill="1" applyBorder="1" applyAlignment="1"/>
    <xf numFmtId="176" fontId="36" fillId="0" borderId="60" xfId="17" applyNumberFormat="1" applyFont="1" applyFill="1" applyBorder="1" applyAlignment="1"/>
    <xf numFmtId="10" fontId="34" fillId="0" borderId="0" xfId="2" applyNumberFormat="1" applyFont="1" applyBorder="1" applyAlignment="1">
      <alignment horizontal="center"/>
    </xf>
    <xf numFmtId="0" fontId="19" fillId="3" borderId="55" xfId="0" applyFont="1" applyFill="1" applyBorder="1" applyAlignment="1">
      <alignment vertical="center" wrapText="1"/>
    </xf>
    <xf numFmtId="172" fontId="19" fillId="3" borderId="55" xfId="1" applyNumberFormat="1" applyFont="1" applyFill="1" applyBorder="1" applyAlignment="1">
      <alignment vertical="center" wrapText="1"/>
    </xf>
    <xf numFmtId="0" fontId="19" fillId="3" borderId="55" xfId="0" applyFont="1" applyFill="1" applyBorder="1" applyAlignment="1">
      <alignment horizontal="center" vertical="center"/>
    </xf>
    <xf numFmtId="0" fontId="19" fillId="3" borderId="55" xfId="0" applyFont="1" applyFill="1" applyBorder="1" applyAlignment="1">
      <alignment horizontal="center" vertical="center" wrapText="1"/>
    </xf>
    <xf numFmtId="172" fontId="19" fillId="3" borderId="55" xfId="1" applyNumberFormat="1" applyFont="1" applyFill="1" applyBorder="1" applyAlignment="1">
      <alignment horizontal="right" vertical="center"/>
    </xf>
    <xf numFmtId="0" fontId="19" fillId="0" borderId="55" xfId="0" applyFont="1" applyFill="1" applyBorder="1" applyAlignment="1">
      <alignment horizontal="justify" vertical="center" wrapText="1"/>
    </xf>
    <xf numFmtId="0" fontId="7" fillId="11" borderId="1" xfId="6" applyFont="1" applyFill="1" applyBorder="1" applyAlignment="1">
      <alignment vertical="center"/>
    </xf>
    <xf numFmtId="175" fontId="20" fillId="11" borderId="2" xfId="1" applyNumberFormat="1" applyFont="1" applyFill="1" applyBorder="1" applyAlignment="1">
      <alignment vertical="center"/>
    </xf>
    <xf numFmtId="0" fontId="20" fillId="11" borderId="2" xfId="0" applyFont="1" applyFill="1" applyBorder="1" applyAlignment="1">
      <alignment vertical="center"/>
    </xf>
    <xf numFmtId="172" fontId="20" fillId="11" borderId="2" xfId="1" applyNumberFormat="1" applyFont="1" applyFill="1" applyBorder="1" applyAlignment="1">
      <alignment horizontal="right" vertical="center"/>
    </xf>
    <xf numFmtId="0" fontId="19" fillId="11" borderId="10" xfId="0" applyFont="1" applyFill="1" applyBorder="1" applyAlignment="1">
      <alignment horizontal="justify" vertical="center" wrapText="1"/>
    </xf>
    <xf numFmtId="10" fontId="20" fillId="11" borderId="3" xfId="2" applyNumberFormat="1" applyFont="1" applyFill="1" applyBorder="1" applyAlignment="1">
      <alignment vertical="center" wrapText="1"/>
    </xf>
    <xf numFmtId="10" fontId="20" fillId="12" borderId="3" xfId="2" applyNumberFormat="1" applyFont="1" applyFill="1" applyBorder="1" applyAlignment="1">
      <alignment vertical="center"/>
    </xf>
    <xf numFmtId="10" fontId="19" fillId="3" borderId="3" xfId="2" applyNumberFormat="1" applyFont="1" applyFill="1" applyBorder="1" applyAlignment="1">
      <alignment vertical="center" wrapText="1"/>
    </xf>
    <xf numFmtId="10" fontId="20" fillId="11" borderId="3" xfId="2" applyNumberFormat="1" applyFont="1" applyFill="1" applyBorder="1" applyAlignment="1">
      <alignment vertical="center"/>
    </xf>
    <xf numFmtId="10" fontId="20" fillId="10" borderId="3" xfId="2" applyNumberFormat="1" applyFont="1" applyFill="1" applyBorder="1" applyAlignment="1">
      <alignment vertical="center"/>
    </xf>
    <xf numFmtId="10" fontId="19" fillId="3" borderId="3" xfId="2" applyNumberFormat="1" applyFont="1" applyFill="1" applyBorder="1" applyAlignment="1">
      <alignment vertical="center"/>
    </xf>
    <xf numFmtId="10" fontId="19" fillId="3" borderId="55" xfId="2" applyNumberFormat="1" applyFont="1" applyFill="1" applyBorder="1" applyAlignment="1">
      <alignment vertical="center"/>
    </xf>
    <xf numFmtId="10" fontId="20" fillId="11" borderId="2" xfId="2" applyNumberFormat="1" applyFont="1" applyFill="1" applyBorder="1" applyAlignment="1">
      <alignment vertical="center"/>
    </xf>
    <xf numFmtId="10" fontId="19" fillId="0" borderId="0" xfId="2" applyNumberFormat="1" applyFont="1"/>
    <xf numFmtId="10" fontId="0" fillId="0" borderId="0" xfId="2" applyNumberFormat="1" applyFont="1"/>
    <xf numFmtId="41" fontId="39" fillId="0" borderId="0" xfId="35" applyFont="1" applyAlignment="1"/>
    <xf numFmtId="3" fontId="11" fillId="0" borderId="3" xfId="0" applyNumberFormat="1" applyFont="1" applyFill="1" applyBorder="1" applyAlignment="1">
      <alignment horizontal="center" vertical="center" wrapText="1"/>
    </xf>
    <xf numFmtId="0" fontId="11" fillId="0" borderId="58" xfId="0" applyFont="1" applyFill="1" applyBorder="1" applyAlignment="1">
      <alignment horizontal="center" vertical="center" wrapText="1"/>
    </xf>
    <xf numFmtId="0" fontId="19" fillId="0" borderId="0" xfId="17" applyNumberFormat="1" applyFont="1"/>
    <xf numFmtId="165" fontId="28" fillId="13" borderId="0" xfId="17" applyFont="1" applyFill="1"/>
    <xf numFmtId="0" fontId="9" fillId="0" borderId="40" xfId="0" applyFont="1" applyBorder="1" applyAlignment="1">
      <alignment horizontal="center" vertical="center" wrapText="1"/>
    </xf>
    <xf numFmtId="1" fontId="10" fillId="0" borderId="78" xfId="0" applyNumberFormat="1" applyFont="1" applyFill="1" applyBorder="1" applyAlignment="1">
      <alignment horizontal="center"/>
    </xf>
    <xf numFmtId="1" fontId="10" fillId="0" borderId="81" xfId="0" applyNumberFormat="1" applyFont="1" applyFill="1" applyBorder="1" applyAlignment="1">
      <alignment horizontal="center"/>
    </xf>
    <xf numFmtId="0" fontId="4" fillId="0" borderId="40" xfId="0" applyFont="1" applyFill="1" applyBorder="1" applyAlignment="1">
      <alignment horizontal="center"/>
    </xf>
    <xf numFmtId="176" fontId="4" fillId="0" borderId="41" xfId="17" applyNumberFormat="1" applyFont="1" applyFill="1" applyBorder="1" applyAlignment="1" applyProtection="1">
      <alignment horizontal="center" vertical="center" wrapText="1"/>
    </xf>
    <xf numFmtId="176" fontId="3" fillId="0" borderId="89" xfId="17" applyNumberFormat="1" applyFont="1" applyFill="1" applyBorder="1" applyAlignment="1" applyProtection="1">
      <alignment horizontal="right"/>
    </xf>
    <xf numFmtId="176" fontId="3" fillId="0" borderId="97" xfId="17" applyNumberFormat="1" applyFont="1" applyFill="1" applyBorder="1" applyAlignment="1" applyProtection="1">
      <alignment horizontal="right"/>
    </xf>
    <xf numFmtId="176" fontId="4" fillId="0" borderId="1" xfId="0" applyNumberFormat="1" applyFont="1" applyFill="1" applyBorder="1" applyAlignment="1">
      <alignment horizontal="center" vertical="center" wrapText="1"/>
    </xf>
    <xf numFmtId="176" fontId="4" fillId="0" borderId="10" xfId="17" applyNumberFormat="1" applyFont="1" applyFill="1" applyBorder="1" applyAlignment="1">
      <alignment horizontal="center" vertical="center" wrapText="1"/>
    </xf>
    <xf numFmtId="176" fontId="3" fillId="0" borderId="38" xfId="0" applyNumberFormat="1" applyFont="1" applyFill="1" applyBorder="1" applyAlignment="1" applyProtection="1">
      <alignment horizontal="right"/>
    </xf>
    <xf numFmtId="176" fontId="3" fillId="0" borderId="39" xfId="17" applyNumberFormat="1" applyFont="1" applyFill="1" applyBorder="1" applyAlignment="1" applyProtection="1">
      <alignment horizontal="right"/>
    </xf>
    <xf numFmtId="176" fontId="3" fillId="0" borderId="42" xfId="17" applyNumberFormat="1" applyFont="1" applyFill="1" applyBorder="1" applyAlignment="1" applyProtection="1">
      <alignment horizontal="right"/>
    </xf>
    <xf numFmtId="176" fontId="24" fillId="0" borderId="6" xfId="0" applyNumberFormat="1" applyFont="1" applyBorder="1"/>
    <xf numFmtId="176" fontId="4" fillId="0" borderId="9" xfId="0" applyNumberFormat="1" applyFont="1" applyFill="1" applyBorder="1" applyAlignment="1">
      <alignment horizontal="center" vertical="center" wrapText="1"/>
    </xf>
    <xf numFmtId="176" fontId="3" fillId="0" borderId="98" xfId="0" applyNumberFormat="1" applyFont="1" applyFill="1" applyBorder="1" applyAlignment="1" applyProtection="1">
      <alignment horizontal="right"/>
    </xf>
    <xf numFmtId="176" fontId="3" fillId="0" borderId="86" xfId="0" applyNumberFormat="1" applyFont="1" applyFill="1" applyBorder="1" applyAlignment="1" applyProtection="1">
      <alignment horizontal="right"/>
    </xf>
    <xf numFmtId="176" fontId="24" fillId="0" borderId="9" xfId="0" applyNumberFormat="1" applyFont="1" applyBorder="1"/>
    <xf numFmtId="176" fontId="3" fillId="0" borderId="4" xfId="0" applyNumberFormat="1" applyFont="1" applyFill="1" applyBorder="1" applyAlignment="1" applyProtection="1">
      <alignment horizontal="right"/>
    </xf>
    <xf numFmtId="1" fontId="10" fillId="0" borderId="58" xfId="0" applyNumberFormat="1" applyFont="1" applyFill="1" applyBorder="1" applyAlignment="1">
      <alignment horizontal="center"/>
    </xf>
    <xf numFmtId="176" fontId="4" fillId="0" borderId="41" xfId="0" applyNumberFormat="1" applyFont="1" applyFill="1" applyBorder="1" applyAlignment="1">
      <alignment horizontal="center" vertical="center" wrapText="1"/>
    </xf>
    <xf numFmtId="176" fontId="3" fillId="0" borderId="89" xfId="0" applyNumberFormat="1" applyFont="1" applyFill="1" applyBorder="1" applyAlignment="1" applyProtection="1">
      <alignment horizontal="right"/>
    </xf>
    <xf numFmtId="176" fontId="3" fillId="0" borderId="14" xfId="0" applyNumberFormat="1" applyFont="1" applyFill="1" applyBorder="1" applyAlignment="1" applyProtection="1">
      <alignment horizontal="right"/>
    </xf>
    <xf numFmtId="176" fontId="4" fillId="0" borderId="6" xfId="0" applyNumberFormat="1" applyFont="1" applyFill="1" applyBorder="1" applyAlignment="1">
      <alignment horizontal="center" vertical="center" wrapText="1"/>
    </xf>
    <xf numFmtId="176" fontId="3" fillId="0" borderId="15" xfId="0" applyNumberFormat="1" applyFont="1" applyFill="1" applyBorder="1" applyAlignment="1" applyProtection="1">
      <alignment horizontal="right"/>
    </xf>
    <xf numFmtId="176" fontId="3" fillId="0" borderId="16" xfId="0" applyNumberFormat="1" applyFont="1" applyFill="1" applyBorder="1" applyAlignment="1" applyProtection="1">
      <alignment horizontal="right"/>
    </xf>
    <xf numFmtId="176" fontId="3" fillId="0" borderId="14" xfId="17" applyNumberFormat="1" applyFont="1" applyFill="1" applyBorder="1" applyAlignment="1" applyProtection="1">
      <alignment horizontal="right"/>
    </xf>
    <xf numFmtId="176" fontId="3" fillId="0" borderId="12" xfId="17" applyNumberFormat="1" applyFont="1" applyFill="1" applyBorder="1" applyAlignment="1" applyProtection="1">
      <alignment horizontal="right"/>
    </xf>
    <xf numFmtId="176" fontId="3" fillId="0" borderId="97" xfId="0" applyNumberFormat="1" applyFont="1" applyFill="1" applyBorder="1" applyAlignment="1" applyProtection="1">
      <alignment horizontal="right"/>
    </xf>
    <xf numFmtId="176" fontId="4" fillId="0" borderId="41" xfId="0" applyNumberFormat="1" applyFont="1" applyFill="1" applyBorder="1" applyAlignment="1">
      <alignment horizontal="right"/>
    </xf>
    <xf numFmtId="176" fontId="3" fillId="0" borderId="53" xfId="0" applyNumberFormat="1" applyFont="1" applyFill="1" applyBorder="1" applyAlignment="1" applyProtection="1">
      <alignment horizontal="right"/>
    </xf>
    <xf numFmtId="176" fontId="3" fillId="0" borderId="17" xfId="0" applyNumberFormat="1" applyFont="1" applyFill="1" applyBorder="1" applyAlignment="1" applyProtection="1">
      <alignment horizontal="right"/>
    </xf>
    <xf numFmtId="176" fontId="4" fillId="0" borderId="6" xfId="0" applyNumberFormat="1" applyFont="1" applyFill="1" applyBorder="1" applyAlignment="1">
      <alignment horizontal="right"/>
    </xf>
    <xf numFmtId="176" fontId="4" fillId="0" borderId="41" xfId="17" applyNumberFormat="1" applyFont="1" applyFill="1" applyBorder="1" applyAlignment="1">
      <alignment horizontal="right"/>
    </xf>
    <xf numFmtId="176" fontId="3" fillId="0" borderId="76" xfId="17" applyNumberFormat="1" applyFont="1" applyFill="1" applyBorder="1" applyAlignment="1" applyProtection="1">
      <alignment horizontal="right"/>
    </xf>
    <xf numFmtId="176" fontId="3" fillId="0" borderId="47" xfId="0" applyNumberFormat="1" applyFont="1" applyFill="1" applyBorder="1" applyAlignment="1" applyProtection="1">
      <alignment horizontal="right"/>
    </xf>
    <xf numFmtId="176" fontId="3" fillId="0" borderId="47" xfId="17" applyNumberFormat="1" applyFont="1" applyFill="1" applyBorder="1" applyAlignment="1" applyProtection="1">
      <alignment horizontal="right"/>
    </xf>
    <xf numFmtId="169" fontId="0" fillId="0" borderId="0" xfId="0" applyNumberFormat="1"/>
    <xf numFmtId="9" fontId="0" fillId="0" borderId="0" xfId="0" applyNumberFormat="1"/>
    <xf numFmtId="176" fontId="38" fillId="0" borderId="0" xfId="3" applyNumberFormat="1" applyFont="1"/>
    <xf numFmtId="0" fontId="19" fillId="0" borderId="0" xfId="0" applyFont="1" applyFill="1" applyAlignment="1">
      <alignment horizontal="justify" vertical="top" wrapText="1"/>
    </xf>
    <xf numFmtId="49" fontId="3" fillId="2" borderId="7" xfId="0" applyNumberFormat="1" applyFont="1" applyFill="1" applyBorder="1" applyAlignment="1">
      <alignment horizontal="center" wrapText="1"/>
    </xf>
    <xf numFmtId="0" fontId="6" fillId="0" borderId="0" xfId="0" applyFont="1" applyFill="1" applyAlignment="1">
      <alignment horizontal="center"/>
    </xf>
    <xf numFmtId="0" fontId="20" fillId="5" borderId="3" xfId="0" applyFont="1" applyFill="1" applyBorder="1" applyAlignment="1">
      <alignment horizontal="center" vertical="center"/>
    </xf>
    <xf numFmtId="172" fontId="20" fillId="5" borderId="4" xfId="1" applyNumberFormat="1" applyFont="1" applyFill="1" applyBorder="1" applyAlignment="1">
      <alignment horizontal="right" vertical="center"/>
    </xf>
    <xf numFmtId="172" fontId="19" fillId="5" borderId="79" xfId="1" applyNumberFormat="1" applyFont="1" applyFill="1" applyBorder="1" applyAlignment="1">
      <alignment vertical="center"/>
    </xf>
    <xf numFmtId="0" fontId="19" fillId="0" borderId="0" xfId="0" applyFont="1" applyFill="1" applyAlignment="1">
      <alignment horizontal="center" vertical="center" wrapText="1"/>
    </xf>
    <xf numFmtId="0" fontId="35" fillId="0" borderId="0" xfId="3" applyFont="1" applyBorder="1" applyAlignment="1">
      <alignment horizontal="center"/>
    </xf>
    <xf numFmtId="41" fontId="39" fillId="0" borderId="0" xfId="35" applyFont="1" applyAlignment="1">
      <alignment horizontal="center"/>
    </xf>
    <xf numFmtId="0" fontId="41" fillId="14" borderId="99" xfId="0" applyFont="1" applyFill="1" applyBorder="1" applyAlignment="1">
      <alignment horizontal="center" vertical="center" wrapText="1" readingOrder="1"/>
    </xf>
    <xf numFmtId="166" fontId="42" fillId="0" borderId="99" xfId="0" applyNumberFormat="1" applyFont="1" applyBorder="1" applyAlignment="1">
      <alignment vertical="center" wrapText="1" readingOrder="1"/>
    </xf>
    <xf numFmtId="166" fontId="41" fillId="14" borderId="99" xfId="0" applyNumberFormat="1" applyFont="1" applyFill="1" applyBorder="1" applyAlignment="1">
      <alignment horizontal="right" vertical="center" wrapText="1" readingOrder="1"/>
    </xf>
    <xf numFmtId="169" fontId="42" fillId="0" borderId="99" xfId="2" applyNumberFormat="1" applyFont="1" applyBorder="1" applyAlignment="1">
      <alignment horizontal="center" vertical="center" wrapText="1" readingOrder="1"/>
    </xf>
    <xf numFmtId="0" fontId="41" fillId="14" borderId="99" xfId="0" applyNumberFormat="1" applyFont="1" applyFill="1" applyBorder="1" applyAlignment="1">
      <alignment horizontal="center" vertical="center" wrapText="1" readingOrder="1"/>
    </xf>
    <xf numFmtId="166" fontId="42" fillId="0" borderId="99" xfId="0" applyNumberFormat="1" applyFont="1" applyBorder="1" applyAlignment="1">
      <alignment horizontal="right" vertical="center" wrapText="1" readingOrder="1"/>
    </xf>
    <xf numFmtId="166" fontId="44" fillId="0" borderId="99" xfId="0" applyNumberFormat="1" applyFont="1" applyBorder="1" applyAlignment="1">
      <alignment vertical="center" wrapText="1" readingOrder="1"/>
    </xf>
    <xf numFmtId="169" fontId="45" fillId="14" borderId="99" xfId="2" applyNumberFormat="1" applyFont="1" applyFill="1" applyBorder="1" applyAlignment="1">
      <alignment horizontal="center" vertical="center" wrapText="1" readingOrder="1"/>
    </xf>
    <xf numFmtId="166" fontId="42" fillId="0" borderId="99" xfId="2" applyNumberFormat="1" applyFont="1" applyBorder="1" applyAlignment="1">
      <alignment horizontal="right" vertical="center" wrapText="1" readingOrder="1"/>
    </xf>
    <xf numFmtId="166" fontId="42" fillId="0" borderId="100" xfId="0" applyNumberFormat="1" applyFont="1" applyBorder="1" applyAlignment="1">
      <alignment vertical="center" wrapText="1" readingOrder="1"/>
    </xf>
    <xf numFmtId="166" fontId="41" fillId="14" borderId="101" xfId="0" applyNumberFormat="1" applyFont="1" applyFill="1" applyBorder="1" applyAlignment="1">
      <alignment horizontal="right" vertical="center" wrapText="1" readingOrder="1"/>
    </xf>
    <xf numFmtId="169" fontId="45" fillId="14" borderId="102" xfId="2" applyNumberFormat="1" applyFont="1" applyFill="1" applyBorder="1" applyAlignment="1">
      <alignment horizontal="center" vertical="center" wrapText="1" readingOrder="1"/>
    </xf>
    <xf numFmtId="166" fontId="41" fillId="14" borderId="103" xfId="0" applyNumberFormat="1" applyFont="1" applyFill="1" applyBorder="1" applyAlignment="1">
      <alignment horizontal="right" vertical="center" wrapText="1" readingOrder="1"/>
    </xf>
    <xf numFmtId="10" fontId="41" fillId="14" borderId="103" xfId="2" applyNumberFormat="1" applyFont="1" applyFill="1" applyBorder="1" applyAlignment="1">
      <alignment horizontal="center" vertical="center" wrapText="1" readingOrder="1"/>
    </xf>
    <xf numFmtId="0" fontId="5" fillId="0" borderId="0" xfId="0" applyFont="1" applyAlignment="1">
      <alignment horizontal="right"/>
    </xf>
    <xf numFmtId="0" fontId="19" fillId="0" borderId="0" xfId="0" applyFont="1" applyAlignment="1">
      <alignment horizontal="center"/>
    </xf>
    <xf numFmtId="180" fontId="19" fillId="0" borderId="0" xfId="0" applyNumberFormat="1" applyFont="1"/>
    <xf numFmtId="180" fontId="19" fillId="0" borderId="0" xfId="38" applyNumberFormat="1" applyFont="1"/>
    <xf numFmtId="0" fontId="40" fillId="14" borderId="1" xfId="3" applyNumberFormat="1" applyFont="1" applyFill="1" applyBorder="1" applyAlignment="1">
      <alignment horizontal="center" vertical="center" wrapText="1"/>
    </xf>
    <xf numFmtId="0" fontId="40" fillId="14" borderId="2" xfId="3" applyNumberFormat="1" applyFont="1" applyFill="1" applyBorder="1" applyAlignment="1">
      <alignment horizontal="center" vertical="center" wrapText="1"/>
    </xf>
    <xf numFmtId="172" fontId="40" fillId="14" borderId="2" xfId="8" applyNumberFormat="1" applyFont="1" applyFill="1" applyBorder="1" applyAlignment="1">
      <alignment horizontal="center" vertical="center" wrapText="1"/>
    </xf>
    <xf numFmtId="0" fontId="40" fillId="14" borderId="10" xfId="3" applyNumberFormat="1" applyFont="1" applyFill="1" applyBorder="1" applyAlignment="1">
      <alignment horizontal="center" vertical="center" wrapText="1"/>
    </xf>
    <xf numFmtId="179" fontId="11" fillId="0" borderId="33" xfId="2" applyNumberFormat="1" applyFont="1" applyFill="1" applyBorder="1" applyAlignment="1"/>
    <xf numFmtId="172" fontId="11" fillId="0" borderId="39" xfId="3" applyNumberFormat="1" applyFont="1" applyFill="1" applyBorder="1" applyAlignment="1"/>
    <xf numFmtId="179" fontId="11" fillId="0" borderId="3" xfId="2" applyNumberFormat="1" applyFont="1" applyFill="1" applyBorder="1" applyAlignment="1"/>
    <xf numFmtId="172" fontId="11" fillId="0" borderId="12" xfId="3" applyNumberFormat="1" applyFont="1" applyFill="1" applyBorder="1" applyAlignment="1"/>
    <xf numFmtId="179" fontId="11" fillId="0" borderId="55" xfId="2" applyNumberFormat="1" applyFont="1" applyFill="1" applyBorder="1" applyAlignment="1"/>
    <xf numFmtId="172" fontId="11" fillId="0" borderId="94" xfId="3" applyNumberFormat="1" applyFont="1" applyFill="1" applyBorder="1" applyAlignment="1"/>
    <xf numFmtId="179" fontId="11" fillId="0" borderId="35" xfId="2" applyNumberFormat="1" applyFont="1" applyFill="1" applyBorder="1" applyAlignment="1"/>
    <xf numFmtId="172" fontId="11" fillId="0" borderId="45" xfId="3" applyNumberFormat="1" applyFont="1" applyFill="1" applyBorder="1" applyAlignment="1"/>
    <xf numFmtId="179" fontId="11" fillId="0" borderId="37" xfId="2" applyNumberFormat="1" applyFont="1" applyFill="1" applyBorder="1" applyAlignment="1"/>
    <xf numFmtId="172" fontId="11" fillId="0" borderId="42" xfId="3" applyNumberFormat="1" applyFont="1" applyFill="1" applyBorder="1" applyAlignment="1"/>
    <xf numFmtId="172" fontId="11" fillId="0" borderId="3" xfId="1" applyNumberFormat="1" applyFont="1" applyFill="1" applyBorder="1"/>
    <xf numFmtId="172" fontId="11" fillId="0" borderId="37" xfId="1" applyNumberFormat="1" applyFont="1" applyFill="1" applyBorder="1"/>
    <xf numFmtId="0" fontId="40" fillId="14" borderId="70" xfId="3" applyNumberFormat="1" applyFont="1" applyFill="1" applyBorder="1" applyAlignment="1"/>
    <xf numFmtId="172" fontId="40" fillId="14" borderId="49" xfId="3" applyNumberFormat="1" applyFont="1" applyFill="1" applyBorder="1" applyAlignment="1"/>
    <xf numFmtId="0" fontId="11" fillId="0" borderId="0" xfId="3" applyFont="1" applyAlignment="1">
      <alignment horizontal="center" vertical="center" wrapText="1"/>
    </xf>
    <xf numFmtId="0" fontId="11" fillId="0" borderId="0" xfId="3" applyFont="1"/>
    <xf numFmtId="172" fontId="11" fillId="0" borderId="0" xfId="3" applyNumberFormat="1" applyFont="1"/>
    <xf numFmtId="165" fontId="11" fillId="0" borderId="0" xfId="17" applyFont="1" applyBorder="1"/>
    <xf numFmtId="0" fontId="11" fillId="3" borderId="0" xfId="3" applyNumberFormat="1" applyFont="1" applyFill="1" applyBorder="1" applyAlignment="1"/>
    <xf numFmtId="0" fontId="11" fillId="0" borderId="0" xfId="3" applyNumberFormat="1" applyFont="1" applyBorder="1" applyAlignment="1"/>
    <xf numFmtId="0" fontId="11" fillId="0" borderId="0" xfId="3" applyFont="1" applyBorder="1"/>
    <xf numFmtId="0" fontId="11" fillId="0" borderId="3" xfId="3" applyFont="1" applyBorder="1"/>
    <xf numFmtId="165" fontId="11" fillId="0" borderId="0" xfId="17" applyFont="1"/>
    <xf numFmtId="176" fontId="7" fillId="0" borderId="1" xfId="17" applyNumberFormat="1" applyFont="1" applyBorder="1" applyAlignment="1">
      <alignment horizontal="center" vertical="center"/>
    </xf>
    <xf numFmtId="176" fontId="7" fillId="0" borderId="40" xfId="17" applyNumberFormat="1" applyFont="1" applyBorder="1" applyAlignment="1">
      <alignment horizontal="center" vertical="center"/>
    </xf>
    <xf numFmtId="176" fontId="7" fillId="0" borderId="1" xfId="17" applyNumberFormat="1" applyFont="1" applyBorder="1" applyAlignment="1">
      <alignment horizontal="center" vertical="center" wrapText="1"/>
    </xf>
    <xf numFmtId="176" fontId="7" fillId="0" borderId="40" xfId="17" applyNumberFormat="1" applyFont="1" applyBorder="1" applyAlignment="1">
      <alignment horizontal="center" vertical="center" wrapText="1"/>
    </xf>
    <xf numFmtId="10" fontId="7" fillId="0" borderId="11" xfId="2" applyNumberFormat="1" applyFont="1" applyBorder="1" applyAlignment="1">
      <alignment horizontal="center" vertical="center"/>
    </xf>
    <xf numFmtId="10" fontId="11" fillId="0" borderId="0" xfId="2" applyNumberFormat="1" applyFont="1"/>
    <xf numFmtId="0" fontId="11" fillId="0" borderId="0" xfId="14" applyFont="1" applyAlignment="1">
      <alignment vertical="center"/>
    </xf>
    <xf numFmtId="176" fontId="7" fillId="0" borderId="82" xfId="17" applyNumberFormat="1" applyFont="1" applyBorder="1" applyAlignment="1">
      <alignment vertical="center"/>
    </xf>
    <xf numFmtId="176" fontId="7" fillId="0" borderId="34" xfId="17" applyNumberFormat="1" applyFont="1" applyBorder="1" applyAlignment="1">
      <alignment horizontal="right" vertical="center"/>
    </xf>
    <xf numFmtId="176" fontId="7" fillId="3" borderId="57" xfId="17" applyNumberFormat="1" applyFont="1" applyFill="1" applyBorder="1" applyAlignment="1">
      <alignment horizontal="right" vertical="center"/>
    </xf>
    <xf numFmtId="176" fontId="7" fillId="0" borderId="46" xfId="17" applyNumberFormat="1" applyFont="1" applyBorder="1" applyAlignment="1">
      <alignment horizontal="right" vertical="center"/>
    </xf>
    <xf numFmtId="176" fontId="7" fillId="0" borderId="83" xfId="17" applyNumberFormat="1" applyFont="1" applyBorder="1" applyAlignment="1">
      <alignment horizontal="right" vertical="center"/>
    </xf>
    <xf numFmtId="10" fontId="7" fillId="0" borderId="84" xfId="2" applyNumberFormat="1" applyFont="1" applyBorder="1" applyAlignment="1">
      <alignment horizontal="right" vertical="center"/>
    </xf>
    <xf numFmtId="176" fontId="11" fillId="0" borderId="0" xfId="17" applyNumberFormat="1" applyFont="1" applyAlignment="1">
      <alignment vertical="center"/>
    </xf>
    <xf numFmtId="176" fontId="11" fillId="0" borderId="85" xfId="17" applyNumberFormat="1" applyFont="1" applyBorder="1" applyAlignment="1">
      <alignment vertical="center"/>
    </xf>
    <xf numFmtId="176" fontId="11" fillId="0" borderId="4" xfId="17" applyNumberFormat="1" applyFont="1" applyBorder="1" applyAlignment="1">
      <alignment horizontal="right" vertical="center"/>
    </xf>
    <xf numFmtId="176" fontId="11" fillId="3" borderId="58" xfId="17" applyNumberFormat="1" applyFont="1" applyFill="1" applyBorder="1" applyAlignment="1">
      <alignment horizontal="right" vertical="center"/>
    </xf>
    <xf numFmtId="176" fontId="11" fillId="0" borderId="16" xfId="17" applyNumberFormat="1" applyFont="1" applyBorder="1" applyAlignment="1">
      <alignment horizontal="right" vertical="center"/>
    </xf>
    <xf numFmtId="176" fontId="11" fillId="0" borderId="73" xfId="17" applyNumberFormat="1" applyFont="1" applyBorder="1" applyAlignment="1">
      <alignment horizontal="right" vertical="center"/>
    </xf>
    <xf numFmtId="10" fontId="11" fillId="0" borderId="79" xfId="2" applyNumberFormat="1" applyFont="1" applyBorder="1" applyAlignment="1">
      <alignment horizontal="right" vertical="center"/>
    </xf>
    <xf numFmtId="172" fontId="11" fillId="0" borderId="0" xfId="14" applyNumberFormat="1" applyFont="1" applyAlignment="1">
      <alignment vertical="center"/>
    </xf>
    <xf numFmtId="165" fontId="11" fillId="0" borderId="0" xfId="17" applyFont="1" applyAlignment="1">
      <alignment vertical="center"/>
    </xf>
    <xf numFmtId="176" fontId="7" fillId="0" borderId="85" xfId="17" applyNumberFormat="1" applyFont="1" applyBorder="1" applyAlignment="1">
      <alignment vertical="center"/>
    </xf>
    <xf numFmtId="176" fontId="7" fillId="0" borderId="4" xfId="17" applyNumberFormat="1" applyFont="1" applyBorder="1" applyAlignment="1">
      <alignment horizontal="right" vertical="center"/>
    </xf>
    <xf numFmtId="176" fontId="7" fillId="3" borderId="58" xfId="17" applyNumberFormat="1" applyFont="1" applyFill="1" applyBorder="1" applyAlignment="1">
      <alignment horizontal="right" vertical="center"/>
    </xf>
    <xf numFmtId="176" fontId="7" fillId="0" borderId="16" xfId="17" applyNumberFormat="1" applyFont="1" applyBorder="1" applyAlignment="1">
      <alignment horizontal="right" vertical="center"/>
    </xf>
    <xf numFmtId="176" fontId="7" fillId="0" borderId="73" xfId="17" applyNumberFormat="1" applyFont="1" applyBorder="1" applyAlignment="1">
      <alignment horizontal="right" vertical="center"/>
    </xf>
    <xf numFmtId="10" fontId="7" fillId="0" borderId="79" xfId="2" applyNumberFormat="1" applyFont="1" applyBorder="1" applyAlignment="1">
      <alignment horizontal="right" vertical="center"/>
    </xf>
    <xf numFmtId="176" fontId="7" fillId="5" borderId="85" xfId="17" applyNumberFormat="1" applyFont="1" applyFill="1" applyBorder="1" applyAlignment="1">
      <alignment vertical="center"/>
    </xf>
    <xf numFmtId="176" fontId="7" fillId="5" borderId="4" xfId="17" applyNumberFormat="1" applyFont="1" applyFill="1" applyBorder="1" applyAlignment="1">
      <alignment horizontal="right" vertical="center"/>
    </xf>
    <xf numFmtId="176" fontId="7" fillId="5" borderId="58" xfId="17" applyNumberFormat="1" applyFont="1" applyFill="1" applyBorder="1" applyAlignment="1">
      <alignment horizontal="right" vertical="center"/>
    </xf>
    <xf numFmtId="176" fontId="7" fillId="5" borderId="16" xfId="17" applyNumberFormat="1" applyFont="1" applyFill="1" applyBorder="1" applyAlignment="1">
      <alignment horizontal="right" vertical="center"/>
    </xf>
    <xf numFmtId="176" fontId="7" fillId="5" borderId="73" xfId="17" applyNumberFormat="1" applyFont="1" applyFill="1" applyBorder="1" applyAlignment="1">
      <alignment horizontal="right" vertical="center"/>
    </xf>
    <xf numFmtId="10" fontId="7" fillId="5" borderId="79" xfId="2" applyNumberFormat="1" applyFont="1" applyFill="1" applyBorder="1" applyAlignment="1">
      <alignment horizontal="right" vertical="center"/>
    </xf>
    <xf numFmtId="176" fontId="11" fillId="0" borderId="58" xfId="17" applyNumberFormat="1" applyFont="1" applyBorder="1" applyAlignment="1">
      <alignment horizontal="right" vertical="center"/>
    </xf>
    <xf numFmtId="176" fontId="11" fillId="0" borderId="86" xfId="17" applyNumberFormat="1" applyFont="1" applyBorder="1" applyAlignment="1">
      <alignment vertical="center"/>
    </xf>
    <xf numFmtId="176" fontId="11" fillId="0" borderId="36" xfId="17" applyNumberFormat="1" applyFont="1" applyBorder="1" applyAlignment="1">
      <alignment horizontal="right" vertical="center"/>
    </xf>
    <xf numFmtId="176" fontId="11" fillId="0" borderId="81" xfId="17" applyNumberFormat="1" applyFont="1" applyBorder="1" applyAlignment="1">
      <alignment horizontal="right" vertical="center"/>
    </xf>
    <xf numFmtId="176" fontId="11" fillId="0" borderId="17" xfId="17" applyNumberFormat="1" applyFont="1" applyBorder="1" applyAlignment="1">
      <alignment horizontal="right" vertical="center"/>
    </xf>
    <xf numFmtId="176" fontId="11" fillId="0" borderId="87" xfId="17" applyNumberFormat="1" applyFont="1" applyBorder="1" applyAlignment="1">
      <alignment horizontal="right" vertical="center"/>
    </xf>
    <xf numFmtId="10" fontId="11" fillId="0" borderId="80" xfId="2" applyNumberFormat="1" applyFont="1" applyBorder="1" applyAlignment="1">
      <alignment horizontal="right" vertical="center"/>
    </xf>
    <xf numFmtId="176" fontId="7" fillId="5" borderId="9" xfId="17" applyNumberFormat="1" applyFont="1" applyFill="1" applyBorder="1" applyAlignment="1">
      <alignment vertical="center"/>
    </xf>
    <xf numFmtId="176" fontId="7" fillId="5" borderId="6" xfId="17" applyNumberFormat="1" applyFont="1" applyFill="1" applyBorder="1" applyAlignment="1">
      <alignment horizontal="right" vertical="center"/>
    </xf>
    <xf numFmtId="176" fontId="7" fillId="5" borderId="5" xfId="17" applyNumberFormat="1" applyFont="1" applyFill="1" applyBorder="1" applyAlignment="1">
      <alignment horizontal="right" vertical="center"/>
    </xf>
    <xf numFmtId="10" fontId="7" fillId="5" borderId="50" xfId="2" applyNumberFormat="1" applyFont="1" applyFill="1" applyBorder="1" applyAlignment="1">
      <alignment horizontal="right" vertical="center"/>
    </xf>
    <xf numFmtId="176" fontId="7" fillId="5" borderId="69" xfId="17" applyNumberFormat="1" applyFont="1" applyFill="1" applyBorder="1" applyAlignment="1">
      <alignment vertical="center"/>
    </xf>
    <xf numFmtId="176" fontId="11" fillId="5" borderId="13" xfId="17" applyNumberFormat="1" applyFont="1" applyFill="1" applyBorder="1" applyAlignment="1">
      <alignment horizontal="right" vertical="center"/>
    </xf>
    <xf numFmtId="176" fontId="11" fillId="5" borderId="21" xfId="17" applyNumberFormat="1" applyFont="1" applyFill="1" applyBorder="1" applyAlignment="1">
      <alignment horizontal="right" vertical="center"/>
    </xf>
    <xf numFmtId="176" fontId="11" fillId="5" borderId="76" xfId="17" applyNumberFormat="1" applyFont="1" applyFill="1" applyBorder="1" applyAlignment="1">
      <alignment horizontal="right" vertical="center"/>
    </xf>
    <xf numFmtId="176" fontId="11" fillId="5" borderId="53" xfId="17" applyNumberFormat="1" applyFont="1" applyFill="1" applyBorder="1" applyAlignment="1">
      <alignment horizontal="right" vertical="center"/>
    </xf>
    <xf numFmtId="176" fontId="11" fillId="5" borderId="0" xfId="17" applyNumberFormat="1" applyFont="1" applyFill="1" applyBorder="1" applyAlignment="1">
      <alignment horizontal="right" vertical="center"/>
    </xf>
    <xf numFmtId="176" fontId="7" fillId="5" borderId="53" xfId="17" applyNumberFormat="1" applyFont="1" applyFill="1" applyBorder="1" applyAlignment="1">
      <alignment horizontal="right" vertical="center"/>
    </xf>
    <xf numFmtId="10" fontId="7" fillId="5" borderId="11" xfId="2" applyNumberFormat="1" applyFont="1" applyFill="1" applyBorder="1" applyAlignment="1">
      <alignment horizontal="right" vertical="center"/>
    </xf>
    <xf numFmtId="176" fontId="11" fillId="5" borderId="1" xfId="17" applyNumberFormat="1" applyFont="1" applyFill="1" applyBorder="1" applyAlignment="1">
      <alignment horizontal="right" vertical="center"/>
    </xf>
    <xf numFmtId="176" fontId="11" fillId="5" borderId="40" xfId="17" applyNumberFormat="1" applyFont="1" applyFill="1" applyBorder="1" applyAlignment="1">
      <alignment horizontal="right" vertical="center"/>
    </xf>
    <xf numFmtId="176" fontId="11" fillId="5" borderId="10" xfId="17" applyNumberFormat="1" applyFont="1" applyFill="1" applyBorder="1" applyAlignment="1">
      <alignment horizontal="right" vertical="center"/>
    </xf>
    <xf numFmtId="176" fontId="11" fillId="5" borderId="6" xfId="17" applyNumberFormat="1" applyFont="1" applyFill="1" applyBorder="1" applyAlignment="1">
      <alignment horizontal="right" vertical="center"/>
    </xf>
    <xf numFmtId="176" fontId="11" fillId="5" borderId="5" xfId="17" applyNumberFormat="1" applyFont="1" applyFill="1" applyBorder="1" applyAlignment="1">
      <alignment horizontal="right" vertical="center"/>
    </xf>
    <xf numFmtId="10" fontId="11" fillId="0" borderId="0" xfId="2" applyNumberFormat="1" applyFont="1" applyAlignment="1">
      <alignment vertical="center"/>
    </xf>
    <xf numFmtId="0" fontId="7" fillId="0" borderId="43" xfId="13" applyFont="1" applyBorder="1" applyAlignment="1">
      <alignment horizontal="center" vertical="center" wrapText="1"/>
    </xf>
    <xf numFmtId="0" fontId="7" fillId="0" borderId="7" xfId="13" applyFont="1" applyBorder="1" applyAlignment="1">
      <alignment horizontal="center" vertical="center" wrapText="1"/>
    </xf>
    <xf numFmtId="0" fontId="7" fillId="0" borderId="88" xfId="13" applyFont="1" applyBorder="1" applyAlignment="1">
      <alignment horizontal="center" vertical="center" wrapText="1"/>
    </xf>
    <xf numFmtId="10" fontId="7" fillId="0" borderId="44" xfId="2" applyNumberFormat="1" applyFont="1" applyBorder="1" applyAlignment="1">
      <alignment horizontal="center" vertical="center" wrapText="1"/>
    </xf>
    <xf numFmtId="0" fontId="7" fillId="5" borderId="82" xfId="0" applyFont="1" applyFill="1" applyBorder="1" applyAlignment="1"/>
    <xf numFmtId="173" fontId="7" fillId="5" borderId="34" xfId="4" applyNumberFormat="1" applyFont="1" applyFill="1" applyBorder="1"/>
    <xf numFmtId="173" fontId="7" fillId="5" borderId="45" xfId="4" applyNumberFormat="1" applyFont="1" applyFill="1" applyBorder="1"/>
    <xf numFmtId="10" fontId="7" fillId="5" borderId="84" xfId="2" applyNumberFormat="1" applyFont="1" applyFill="1" applyBorder="1"/>
    <xf numFmtId="0" fontId="11" fillId="0" borderId="85" xfId="0" applyFont="1" applyBorder="1" applyAlignment="1">
      <alignment horizontal="left" indent="1"/>
    </xf>
    <xf numFmtId="173" fontId="11" fillId="0" borderId="4" xfId="4" applyNumberFormat="1" applyFont="1" applyBorder="1"/>
    <xf numFmtId="173" fontId="11" fillId="0" borderId="12" xfId="4" applyNumberFormat="1" applyFont="1" applyBorder="1"/>
    <xf numFmtId="10" fontId="11" fillId="0" borderId="79" xfId="2" applyNumberFormat="1" applyFont="1" applyBorder="1"/>
    <xf numFmtId="0" fontId="7" fillId="5" borderId="85" xfId="0" applyFont="1" applyFill="1" applyBorder="1" applyAlignment="1"/>
    <xf numFmtId="173" fontId="7" fillId="5" borderId="4" xfId="4" applyNumberFormat="1" applyFont="1" applyFill="1" applyBorder="1"/>
    <xf numFmtId="173" fontId="7" fillId="5" borderId="12" xfId="4" applyNumberFormat="1" applyFont="1" applyFill="1" applyBorder="1"/>
    <xf numFmtId="10" fontId="7" fillId="5" borderId="79" xfId="2" applyNumberFormat="1" applyFont="1" applyFill="1" applyBorder="1"/>
    <xf numFmtId="0" fontId="7" fillId="0" borderId="9" xfId="13" applyFont="1" applyBorder="1"/>
    <xf numFmtId="173" fontId="7" fillId="0" borderId="1" xfId="13" applyNumberFormat="1" applyFont="1" applyBorder="1"/>
    <xf numFmtId="10" fontId="7" fillId="0" borderId="11" xfId="2" applyNumberFormat="1" applyFont="1" applyBorder="1"/>
    <xf numFmtId="0" fontId="11" fillId="0" borderId="0" xfId="13" applyFont="1"/>
    <xf numFmtId="0" fontId="7" fillId="0" borderId="0" xfId="13" applyFont="1"/>
    <xf numFmtId="173" fontId="11" fillId="0" borderId="0" xfId="13" applyNumberFormat="1" applyFont="1"/>
    <xf numFmtId="0" fontId="3" fillId="0" borderId="0" xfId="39" applyFont="1"/>
    <xf numFmtId="2" fontId="11" fillId="0" borderId="33" xfId="4" applyNumberFormat="1" applyFont="1" applyFill="1" applyBorder="1" applyAlignment="1">
      <alignment horizontal="center" vertical="center" wrapText="1"/>
    </xf>
    <xf numFmtId="172" fontId="11" fillId="0" borderId="33" xfId="8" applyNumberFormat="1" applyFont="1" applyFill="1" applyBorder="1"/>
    <xf numFmtId="2" fontId="11" fillId="0" borderId="3" xfId="4" applyNumberFormat="1" applyFont="1" applyFill="1" applyBorder="1" applyAlignment="1">
      <alignment horizontal="center" vertical="center" wrapText="1"/>
    </xf>
    <xf numFmtId="172" fontId="11" fillId="0" borderId="3" xfId="8" applyNumberFormat="1" applyFont="1" applyFill="1" applyBorder="1"/>
    <xf numFmtId="2" fontId="11" fillId="0" borderId="55" xfId="4" applyNumberFormat="1" applyFont="1" applyFill="1" applyBorder="1" applyAlignment="1">
      <alignment horizontal="center" vertical="center" wrapText="1"/>
    </xf>
    <xf numFmtId="172" fontId="11" fillId="0" borderId="55" xfId="8" applyNumberFormat="1" applyFont="1" applyFill="1" applyBorder="1"/>
    <xf numFmtId="2" fontId="11" fillId="0" borderId="35" xfId="4" applyNumberFormat="1" applyFont="1" applyFill="1" applyBorder="1" applyAlignment="1">
      <alignment horizontal="center" vertical="center" wrapText="1"/>
    </xf>
    <xf numFmtId="172" fontId="11" fillId="0" borderId="35" xfId="8" applyNumberFormat="1" applyFont="1" applyFill="1" applyBorder="1"/>
    <xf numFmtId="2" fontId="11" fillId="0" borderId="37" xfId="4" applyNumberFormat="1" applyFont="1" applyFill="1" applyBorder="1" applyAlignment="1">
      <alignment horizontal="center" vertical="center" wrapText="1"/>
    </xf>
    <xf numFmtId="172" fontId="11" fillId="0" borderId="37" xfId="8" applyNumberFormat="1" applyFont="1" applyFill="1" applyBorder="1"/>
    <xf numFmtId="2" fontId="40" fillId="14" borderId="48" xfId="4" applyNumberFormat="1" applyFont="1" applyFill="1" applyBorder="1" applyAlignment="1">
      <alignment horizontal="center" vertical="center" wrapText="1"/>
    </xf>
    <xf numFmtId="2" fontId="40" fillId="14" borderId="70" xfId="4" applyNumberFormat="1" applyFont="1" applyFill="1" applyBorder="1" applyAlignment="1">
      <alignment horizontal="center" vertical="center" wrapText="1"/>
    </xf>
    <xf numFmtId="172" fontId="40" fillId="14" borderId="70" xfId="8" applyNumberFormat="1" applyFont="1" applyFill="1" applyBorder="1"/>
    <xf numFmtId="172" fontId="11" fillId="0" borderId="0" xfId="8" applyNumberFormat="1" applyFont="1" applyBorder="1"/>
    <xf numFmtId="169" fontId="11" fillId="0" borderId="3" xfId="2" applyNumberFormat="1" applyFont="1" applyBorder="1"/>
    <xf numFmtId="179" fontId="11" fillId="0" borderId="3" xfId="2" applyNumberFormat="1" applyFont="1" applyBorder="1"/>
    <xf numFmtId="0" fontId="47" fillId="0" borderId="0" xfId="18" applyFont="1"/>
    <xf numFmtId="172" fontId="11" fillId="0" borderId="0" xfId="8" applyNumberFormat="1" applyFont="1"/>
    <xf numFmtId="2" fontId="11" fillId="0" borderId="33" xfId="4" applyNumberFormat="1" applyFont="1" applyFill="1" applyBorder="1" applyAlignment="1">
      <alignment horizontal="left" vertical="center" wrapText="1"/>
    </xf>
    <xf numFmtId="2" fontId="11" fillId="0" borderId="3" xfId="4" applyNumberFormat="1" applyFont="1" applyFill="1" applyBorder="1" applyAlignment="1">
      <alignment horizontal="left" vertical="center" wrapText="1"/>
    </xf>
    <xf numFmtId="2" fontId="11" fillId="0" borderId="55" xfId="4" applyNumberFormat="1" applyFont="1" applyFill="1" applyBorder="1" applyAlignment="1">
      <alignment horizontal="left" vertical="center" wrapText="1"/>
    </xf>
    <xf numFmtId="2" fontId="11" fillId="0" borderId="35" xfId="4" applyNumberFormat="1" applyFont="1" applyFill="1" applyBorder="1" applyAlignment="1">
      <alignment horizontal="left" vertical="center" wrapText="1"/>
    </xf>
    <xf numFmtId="2" fontId="11" fillId="0" borderId="37" xfId="4" applyNumberFormat="1" applyFont="1" applyFill="1" applyBorder="1" applyAlignment="1">
      <alignment horizontal="left" vertical="center" wrapText="1"/>
    </xf>
    <xf numFmtId="0" fontId="20" fillId="0" borderId="0" xfId="0" applyFont="1" applyFill="1" applyBorder="1" applyAlignment="1">
      <alignment vertical="center" wrapText="1"/>
    </xf>
    <xf numFmtId="0" fontId="20" fillId="0" borderId="18" xfId="0" applyFont="1" applyFill="1" applyBorder="1" applyAlignment="1">
      <alignment vertical="center" wrapText="1"/>
    </xf>
    <xf numFmtId="180" fontId="19" fillId="0" borderId="0" xfId="38" applyNumberFormat="1" applyFont="1" applyAlignment="1">
      <alignment vertical="center"/>
    </xf>
    <xf numFmtId="0" fontId="46" fillId="14" borderId="99" xfId="0" applyFont="1" applyFill="1" applyBorder="1" applyAlignment="1">
      <alignment horizontal="center" vertical="center" wrapText="1" readingOrder="1"/>
    </xf>
    <xf numFmtId="0" fontId="19" fillId="0" borderId="0" xfId="0" applyNumberFormat="1" applyFont="1" applyAlignment="1">
      <alignment horizontal="center"/>
    </xf>
    <xf numFmtId="166" fontId="19" fillId="0" borderId="0" xfId="0" applyNumberFormat="1" applyFont="1" applyBorder="1" applyAlignment="1">
      <alignment horizontal="center" vertical="center" wrapText="1" readingOrder="1"/>
    </xf>
    <xf numFmtId="0" fontId="19" fillId="0" borderId="0" xfId="0" applyNumberFormat="1" applyFont="1" applyBorder="1" applyAlignment="1">
      <alignment horizontal="center" vertical="center" wrapText="1" readingOrder="1"/>
    </xf>
    <xf numFmtId="166" fontId="46" fillId="14" borderId="99" xfId="0" applyNumberFormat="1" applyFont="1" applyFill="1" applyBorder="1" applyAlignment="1">
      <alignment horizontal="right" vertical="center" wrapText="1" readingOrder="1"/>
    </xf>
    <xf numFmtId="9" fontId="19" fillId="0" borderId="0" xfId="2" applyFont="1"/>
    <xf numFmtId="0" fontId="48" fillId="0" borderId="0" xfId="0" applyFont="1"/>
    <xf numFmtId="0" fontId="34" fillId="0" borderId="0" xfId="3" applyFont="1" applyBorder="1" applyAlignment="1">
      <alignment wrapText="1"/>
    </xf>
    <xf numFmtId="0" fontId="34" fillId="0" borderId="18" xfId="3" applyFont="1" applyBorder="1" applyAlignment="1">
      <alignment wrapText="1"/>
    </xf>
    <xf numFmtId="0" fontId="34" fillId="0" borderId="0" xfId="3" applyFont="1" applyAlignment="1">
      <alignment wrapText="1"/>
    </xf>
    <xf numFmtId="0" fontId="34" fillId="0" borderId="0" xfId="3" applyFont="1" applyBorder="1" applyAlignment="1">
      <alignment horizontal="center" wrapText="1"/>
    </xf>
    <xf numFmtId="17" fontId="11" fillId="0" borderId="99" xfId="0" applyNumberFormat="1" applyFont="1" applyBorder="1" applyAlignment="1">
      <alignment horizontal="center" vertical="center" wrapText="1" readingOrder="1"/>
    </xf>
    <xf numFmtId="166" fontId="11" fillId="0" borderId="99" xfId="0" applyNumberFormat="1" applyFont="1" applyBorder="1" applyAlignment="1">
      <alignment vertical="center" wrapText="1" readingOrder="1"/>
    </xf>
    <xf numFmtId="172" fontId="11" fillId="0" borderId="0" xfId="1" applyNumberFormat="1" applyFont="1" applyFill="1" applyAlignment="1">
      <alignment horizontal="justify" vertical="center" wrapText="1"/>
    </xf>
    <xf numFmtId="172" fontId="7" fillId="11" borderId="7" xfId="1" applyNumberFormat="1" applyFont="1" applyFill="1" applyBorder="1" applyAlignment="1">
      <alignment horizontal="center" vertical="center" wrapText="1"/>
    </xf>
    <xf numFmtId="172" fontId="20" fillId="11" borderId="35" xfId="1" applyNumberFormat="1" applyFont="1" applyFill="1" applyBorder="1" applyAlignment="1">
      <alignment horizontal="center" vertical="center" wrapText="1"/>
    </xf>
    <xf numFmtId="172" fontId="7" fillId="11" borderId="34" xfId="1" applyNumberFormat="1" applyFont="1" applyFill="1" applyBorder="1" applyAlignment="1">
      <alignment horizontal="center" vertical="center" wrapText="1"/>
    </xf>
    <xf numFmtId="0" fontId="19" fillId="0" borderId="79" xfId="0" applyFont="1" applyFill="1" applyBorder="1" applyAlignment="1">
      <alignment horizontal="justify" vertical="top" wrapText="1"/>
    </xf>
    <xf numFmtId="0" fontId="11" fillId="0" borderId="4" xfId="0" applyFont="1" applyBorder="1" applyAlignment="1">
      <alignment horizontal="left" vertical="center" wrapText="1"/>
    </xf>
    <xf numFmtId="172" fontId="7" fillId="11" borderId="3" xfId="1" applyNumberFormat="1" applyFont="1" applyFill="1" applyBorder="1" applyAlignment="1">
      <alignment horizontal="right" vertical="center" wrapText="1"/>
    </xf>
    <xf numFmtId="3" fontId="20" fillId="11" borderId="3" xfId="0" applyNumberFormat="1" applyFont="1" applyFill="1" applyBorder="1" applyAlignment="1">
      <alignment horizontal="center" vertical="center" wrapText="1"/>
    </xf>
    <xf numFmtId="172" fontId="7" fillId="11" borderId="4" xfId="1" applyNumberFormat="1" applyFont="1" applyFill="1" applyBorder="1" applyAlignment="1">
      <alignment vertical="center"/>
    </xf>
    <xf numFmtId="0" fontId="7" fillId="10" borderId="4" xfId="6" applyFont="1" applyFill="1" applyBorder="1" applyAlignment="1">
      <alignment horizontal="left" vertical="center" wrapText="1"/>
    </xf>
    <xf numFmtId="172" fontId="7" fillId="10" borderId="3" xfId="1" applyNumberFormat="1" applyFont="1" applyFill="1" applyBorder="1" applyAlignment="1">
      <alignment horizontal="right" vertical="center" wrapText="1"/>
    </xf>
    <xf numFmtId="172" fontId="7" fillId="10" borderId="4" xfId="1" applyNumberFormat="1" applyFont="1" applyFill="1" applyBorder="1" applyAlignment="1">
      <alignment vertical="center" wrapText="1"/>
    </xf>
    <xf numFmtId="172" fontId="7" fillId="10" borderId="12" xfId="1" applyNumberFormat="1" applyFont="1" applyFill="1" applyBorder="1" applyAlignment="1">
      <alignment vertical="center" wrapText="1"/>
    </xf>
    <xf numFmtId="172" fontId="19" fillId="10" borderId="79" xfId="1" applyNumberFormat="1" applyFont="1" applyFill="1" applyBorder="1" applyAlignment="1">
      <alignment horizontal="justify" vertical="top" wrapText="1"/>
    </xf>
    <xf numFmtId="172" fontId="11" fillId="0" borderId="12" xfId="25" applyNumberFormat="1" applyFont="1" applyFill="1" applyBorder="1" applyAlignment="1">
      <alignment horizontal="justify" vertical="center" wrapText="1"/>
    </xf>
    <xf numFmtId="172" fontId="20" fillId="10" borderId="3" xfId="1" applyNumberFormat="1" applyFont="1" applyFill="1" applyBorder="1" applyAlignment="1">
      <alignment vertical="center" wrapText="1"/>
    </xf>
    <xf numFmtId="0" fontId="27" fillId="0" borderId="0" xfId="0" applyFont="1" applyFill="1" applyAlignment="1">
      <alignment horizontal="justify" vertical="center" wrapText="1"/>
    </xf>
    <xf numFmtId="176" fontId="27" fillId="0" borderId="0" xfId="17" applyNumberFormat="1" applyFont="1" applyFill="1" applyAlignment="1">
      <alignment horizontal="justify" vertical="center" wrapText="1"/>
    </xf>
    <xf numFmtId="0" fontId="11" fillId="0" borderId="79" xfId="0" applyFont="1" applyFill="1" applyBorder="1" applyAlignment="1">
      <alignment horizontal="justify" vertical="top" wrapText="1"/>
    </xf>
    <xf numFmtId="176" fontId="11" fillId="0" borderId="0" xfId="0" applyNumberFormat="1" applyFont="1" applyFill="1" applyAlignment="1">
      <alignment horizontal="justify" vertical="center" wrapText="1"/>
    </xf>
    <xf numFmtId="0" fontId="11" fillId="0" borderId="0" xfId="0" applyFont="1" applyFill="1" applyAlignment="1">
      <alignment horizontal="justify" vertical="center" wrapText="1"/>
    </xf>
    <xf numFmtId="176" fontId="11" fillId="0" borderId="0" xfId="17" applyNumberFormat="1" applyFont="1" applyFill="1" applyAlignment="1">
      <alignment horizontal="justify" vertical="center" wrapText="1"/>
    </xf>
    <xf numFmtId="0" fontId="11" fillId="0" borderId="0" xfId="0" applyFont="1" applyFill="1" applyAlignment="1">
      <alignment horizontal="center" vertical="center" wrapText="1"/>
    </xf>
    <xf numFmtId="172" fontId="11" fillId="0" borderId="0" xfId="0" applyNumberFormat="1" applyFont="1" applyFill="1" applyAlignment="1">
      <alignment horizontal="justify" vertical="center" wrapText="1"/>
    </xf>
    <xf numFmtId="0" fontId="7" fillId="5" borderId="4" xfId="6" applyFont="1" applyFill="1" applyBorder="1" applyAlignment="1">
      <alignment horizontal="left" vertical="center" wrapText="1"/>
    </xf>
    <xf numFmtId="172" fontId="7" fillId="5" borderId="3" xfId="1" applyNumberFormat="1" applyFont="1" applyFill="1" applyBorder="1" applyAlignment="1">
      <alignment horizontal="right" vertical="center" wrapText="1"/>
    </xf>
    <xf numFmtId="172" fontId="7" fillId="5" borderId="4" xfId="1" applyNumberFormat="1" applyFont="1" applyFill="1" applyBorder="1" applyAlignment="1">
      <alignment vertical="center" wrapText="1"/>
    </xf>
    <xf numFmtId="176" fontId="11" fillId="0" borderId="0" xfId="17"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3" fontId="20" fillId="5" borderId="3" xfId="0" applyNumberFormat="1" applyFont="1" applyFill="1" applyBorder="1" applyAlignment="1">
      <alignment horizontal="center" vertical="center" wrapText="1"/>
    </xf>
    <xf numFmtId="0" fontId="20" fillId="5" borderId="58" xfId="0" applyFont="1" applyFill="1" applyBorder="1" applyAlignment="1">
      <alignment horizontal="center" vertical="center" wrapText="1"/>
    </xf>
    <xf numFmtId="3" fontId="7" fillId="10" borderId="3" xfId="0" applyNumberFormat="1" applyFont="1" applyFill="1" applyBorder="1" applyAlignment="1">
      <alignment horizontal="center" vertical="center" wrapText="1"/>
    </xf>
    <xf numFmtId="0" fontId="7" fillId="10" borderId="58" xfId="0" applyFont="1" applyFill="1" applyBorder="1" applyAlignment="1">
      <alignment horizontal="center" vertical="center" wrapText="1"/>
    </xf>
    <xf numFmtId="0" fontId="20" fillId="10" borderId="36" xfId="6" applyFont="1" applyFill="1" applyBorder="1" applyAlignment="1">
      <alignment horizontal="left" vertical="center" wrapText="1"/>
    </xf>
    <xf numFmtId="172" fontId="7" fillId="10" borderId="37" xfId="1" applyNumberFormat="1" applyFont="1" applyFill="1" applyBorder="1" applyAlignment="1">
      <alignment horizontal="right" vertical="center" wrapText="1"/>
    </xf>
    <xf numFmtId="3" fontId="20" fillId="10" borderId="37" xfId="0" applyNumberFormat="1" applyFont="1" applyFill="1" applyBorder="1" applyAlignment="1">
      <alignment horizontal="center" vertical="center" wrapText="1"/>
    </xf>
    <xf numFmtId="0" fontId="20" fillId="10" borderId="81" xfId="0" applyFont="1" applyFill="1" applyBorder="1" applyAlignment="1">
      <alignment horizontal="center" vertical="center" wrapText="1"/>
    </xf>
    <xf numFmtId="172" fontId="7" fillId="10" borderId="36" xfId="1" applyNumberFormat="1" applyFont="1" applyFill="1" applyBorder="1" applyAlignment="1">
      <alignment vertical="center" wrapText="1"/>
    </xf>
    <xf numFmtId="9" fontId="11" fillId="0" borderId="0" xfId="2" applyFont="1" applyFill="1" applyAlignment="1">
      <alignment horizontal="justify" vertical="center" wrapText="1"/>
    </xf>
    <xf numFmtId="172" fontId="19" fillId="0" borderId="0" xfId="0" applyNumberFormat="1" applyFont="1" applyFill="1" applyAlignment="1">
      <alignment horizontal="justify" vertical="top" wrapText="1"/>
    </xf>
    <xf numFmtId="0" fontId="19" fillId="0" borderId="4" xfId="0" applyFont="1" applyBorder="1" applyAlignment="1">
      <alignment horizontal="left" vertical="center" wrapText="1"/>
    </xf>
    <xf numFmtId="0" fontId="19" fillId="0" borderId="0" xfId="0" applyFont="1" applyAlignment="1">
      <alignment vertical="center"/>
    </xf>
    <xf numFmtId="0" fontId="19" fillId="0" borderId="0" xfId="0" applyFont="1" applyAlignment="1">
      <alignment horizontal="left" vertical="center"/>
    </xf>
    <xf numFmtId="10" fontId="19" fillId="0" borderId="0" xfId="2" applyNumberFormat="1" applyFont="1" applyAlignment="1">
      <alignment horizontal="center" vertical="center"/>
    </xf>
    <xf numFmtId="174" fontId="20" fillId="11" borderId="8" xfId="1" applyNumberFormat="1" applyFont="1" applyFill="1" applyBorder="1" applyAlignment="1">
      <alignment horizontal="center" vertical="center" wrapText="1"/>
    </xf>
    <xf numFmtId="0" fontId="7" fillId="11" borderId="34" xfId="0" applyFont="1" applyFill="1" applyBorder="1" applyAlignment="1">
      <alignment horizontal="left" vertical="center" wrapText="1"/>
    </xf>
    <xf numFmtId="167" fontId="7" fillId="11" borderId="35" xfId="1" applyFont="1" applyFill="1" applyBorder="1" applyAlignment="1">
      <alignment horizontal="center" vertical="center" wrapText="1"/>
    </xf>
    <xf numFmtId="0" fontId="7" fillId="11" borderId="35" xfId="0" applyFont="1" applyFill="1" applyBorder="1" applyAlignment="1">
      <alignment horizontal="center" vertical="center" wrapText="1"/>
    </xf>
    <xf numFmtId="0" fontId="7" fillId="11" borderId="57" xfId="0" applyFont="1" applyFill="1" applyBorder="1" applyAlignment="1">
      <alignment horizontal="center" vertical="center" wrapText="1"/>
    </xf>
    <xf numFmtId="172" fontId="7" fillId="11" borderId="34" xfId="1" applyNumberFormat="1" applyFont="1" applyFill="1" applyBorder="1" applyAlignment="1">
      <alignment horizontal="left" vertical="center" wrapText="1"/>
    </xf>
    <xf numFmtId="3" fontId="19" fillId="0" borderId="0" xfId="0" applyNumberFormat="1" applyFont="1" applyAlignment="1">
      <alignment vertical="center"/>
    </xf>
    <xf numFmtId="182" fontId="11" fillId="0" borderId="3" xfId="0" applyNumberFormat="1" applyFont="1" applyFill="1" applyBorder="1" applyAlignment="1">
      <alignment horizontal="center" vertical="center" wrapText="1"/>
    </xf>
    <xf numFmtId="182" fontId="11" fillId="0" borderId="58" xfId="0" applyNumberFormat="1" applyFont="1" applyFill="1" applyBorder="1" applyAlignment="1">
      <alignment horizontal="center" vertical="center" wrapText="1"/>
    </xf>
    <xf numFmtId="172" fontId="11" fillId="0" borderId="4" xfId="1" applyNumberFormat="1" applyFont="1" applyFill="1" applyBorder="1" applyAlignment="1">
      <alignment horizontal="left" vertical="center" wrapText="1"/>
    </xf>
    <xf numFmtId="176" fontId="19" fillId="0" borderId="0" xfId="17" applyNumberFormat="1" applyFont="1" applyAlignment="1">
      <alignment vertical="center"/>
    </xf>
    <xf numFmtId="172" fontId="20" fillId="11" borderId="4" xfId="1" applyNumberFormat="1" applyFont="1" applyFill="1" applyBorder="1" applyAlignment="1">
      <alignment horizontal="left" vertical="center" wrapText="1"/>
    </xf>
    <xf numFmtId="174" fontId="7" fillId="10" borderId="3" xfId="6" applyNumberFormat="1" applyFont="1" applyFill="1" applyBorder="1" applyAlignment="1">
      <alignment horizontal="right" vertical="center"/>
    </xf>
    <xf numFmtId="172" fontId="20" fillId="10" borderId="4" xfId="1" applyNumberFormat="1" applyFont="1" applyFill="1" applyBorder="1" applyAlignment="1">
      <alignment horizontal="left" vertical="center"/>
    </xf>
    <xf numFmtId="182" fontId="19" fillId="0" borderId="3" xfId="0" applyNumberFormat="1" applyFont="1" applyFill="1" applyBorder="1" applyAlignment="1">
      <alignment horizontal="center" vertical="center" wrapText="1"/>
    </xf>
    <xf numFmtId="182" fontId="19" fillId="0" borderId="58" xfId="0" applyNumberFormat="1" applyFont="1" applyFill="1" applyBorder="1" applyAlignment="1">
      <alignment horizontal="center" vertical="center" wrapText="1"/>
    </xf>
    <xf numFmtId="172" fontId="19" fillId="0" borderId="4" xfId="1" applyNumberFormat="1" applyFont="1" applyFill="1" applyBorder="1" applyAlignment="1">
      <alignment horizontal="left" vertical="center" wrapText="1"/>
    </xf>
    <xf numFmtId="0" fontId="11" fillId="0" borderId="0" xfId="0" applyFont="1" applyFill="1" applyAlignment="1">
      <alignment vertical="center"/>
    </xf>
    <xf numFmtId="3" fontId="11" fillId="0" borderId="0" xfId="0" applyNumberFormat="1" applyFont="1" applyFill="1" applyAlignment="1">
      <alignment vertical="center"/>
    </xf>
    <xf numFmtId="175" fontId="19" fillId="0" borderId="4" xfId="1" applyNumberFormat="1" applyFont="1" applyFill="1" applyBorder="1" applyAlignment="1">
      <alignment horizontal="right" vertical="center" wrapText="1"/>
    </xf>
    <xf numFmtId="172" fontId="19" fillId="0" borderId="0" xfId="0" applyNumberFormat="1" applyFont="1" applyAlignment="1">
      <alignment vertical="center"/>
    </xf>
    <xf numFmtId="172" fontId="20" fillId="10" borderId="3" xfId="1" applyNumberFormat="1" applyFont="1" applyFill="1" applyBorder="1" applyAlignment="1">
      <alignment vertical="center"/>
    </xf>
    <xf numFmtId="1" fontId="20" fillId="10" borderId="3" xfId="17" applyNumberFormat="1" applyFont="1" applyFill="1" applyBorder="1" applyAlignment="1">
      <alignment horizontal="center" vertical="center"/>
    </xf>
    <xf numFmtId="172" fontId="20" fillId="10" borderId="58" xfId="1" applyNumberFormat="1" applyFont="1" applyFill="1" applyBorder="1" applyAlignment="1">
      <alignment horizontal="center" vertical="center"/>
    </xf>
    <xf numFmtId="172" fontId="19" fillId="3" borderId="4" xfId="1" applyNumberFormat="1" applyFont="1" applyFill="1" applyBorder="1" applyAlignment="1">
      <alignment horizontal="left" vertical="center" wrapText="1"/>
    </xf>
    <xf numFmtId="172" fontId="20" fillId="10" borderId="3" xfId="0" applyNumberFormat="1" applyFont="1" applyFill="1" applyBorder="1" applyAlignment="1">
      <alignment horizontal="center" vertical="center"/>
    </xf>
    <xf numFmtId="172" fontId="20" fillId="10" borderId="58" xfId="0" applyNumberFormat="1" applyFont="1" applyFill="1" applyBorder="1" applyAlignment="1">
      <alignment horizontal="center" vertical="center"/>
    </xf>
    <xf numFmtId="172" fontId="19" fillId="0" borderId="58" xfId="0" applyNumberFormat="1" applyFont="1" applyFill="1" applyBorder="1" applyAlignment="1">
      <alignment horizontal="center" vertical="center" wrapText="1"/>
    </xf>
    <xf numFmtId="182" fontId="7" fillId="10" borderId="3" xfId="6" applyNumberFormat="1" applyFont="1" applyFill="1" applyBorder="1" applyAlignment="1">
      <alignment horizontal="right" vertical="center"/>
    </xf>
    <xf numFmtId="3" fontId="20" fillId="10" borderId="3" xfId="0" applyNumberFormat="1" applyFont="1" applyFill="1" applyBorder="1" applyAlignment="1">
      <alignment horizontal="center" vertical="center"/>
    </xf>
    <xf numFmtId="10" fontId="20" fillId="10" borderId="73" xfId="2" applyNumberFormat="1" applyFont="1" applyFill="1" applyBorder="1" applyAlignment="1">
      <alignment horizontal="center" vertical="center"/>
    </xf>
    <xf numFmtId="49" fontId="19" fillId="10" borderId="16" xfId="25" applyNumberFormat="1" applyFont="1" applyFill="1" applyBorder="1" applyAlignment="1">
      <alignment horizontal="justify" vertical="center" wrapText="1"/>
    </xf>
    <xf numFmtId="0" fontId="21" fillId="0" borderId="4" xfId="0" applyFont="1" applyFill="1" applyBorder="1" applyAlignment="1">
      <alignment vertical="center" wrapText="1"/>
    </xf>
    <xf numFmtId="176" fontId="11" fillId="0" borderId="4" xfId="17" applyNumberFormat="1" applyFont="1" applyFill="1" applyBorder="1" applyAlignment="1">
      <alignment horizontal="right" vertical="center" wrapText="1"/>
    </xf>
    <xf numFmtId="175" fontId="19" fillId="0" borderId="12" xfId="25" applyNumberFormat="1" applyFont="1" applyFill="1" applyBorder="1" applyAlignment="1">
      <alignment horizontal="right" vertical="center" wrapText="1"/>
    </xf>
    <xf numFmtId="10" fontId="19" fillId="0" borderId="73" xfId="2" applyNumberFormat="1" applyFont="1" applyFill="1" applyBorder="1" applyAlignment="1">
      <alignment horizontal="center" vertical="center" wrapText="1"/>
    </xf>
    <xf numFmtId="49" fontId="19" fillId="0" borderId="16" xfId="0" applyNumberFormat="1" applyFont="1" applyFill="1" applyBorder="1" applyAlignment="1">
      <alignment horizontal="justify" vertical="center" wrapText="1"/>
    </xf>
    <xf numFmtId="0" fontId="7" fillId="5" borderId="4" xfId="6" applyFont="1" applyFill="1" applyBorder="1" applyAlignment="1">
      <alignment horizontal="justify" vertical="center" wrapText="1"/>
    </xf>
    <xf numFmtId="0" fontId="7" fillId="5" borderId="3" xfId="6" applyFont="1" applyFill="1" applyBorder="1" applyAlignment="1">
      <alignment horizontal="left" vertical="center"/>
    </xf>
    <xf numFmtId="0" fontId="7" fillId="5" borderId="58" xfId="6" applyFont="1" applyFill="1" applyBorder="1" applyAlignment="1">
      <alignment horizontal="left" vertical="center"/>
    </xf>
    <xf numFmtId="172" fontId="7" fillId="5" borderId="4" xfId="6" applyNumberFormat="1" applyFont="1" applyFill="1" applyBorder="1" applyAlignment="1">
      <alignment horizontal="left" vertical="center"/>
    </xf>
    <xf numFmtId="172" fontId="19" fillId="0" borderId="0" xfId="0" applyNumberFormat="1" applyFont="1" applyAlignment="1">
      <alignment horizontal="left" vertical="center"/>
    </xf>
    <xf numFmtId="176" fontId="19" fillId="0" borderId="0" xfId="17" applyNumberFormat="1" applyFont="1" applyAlignment="1">
      <alignment horizontal="left" vertical="center"/>
    </xf>
    <xf numFmtId="176" fontId="19" fillId="0" borderId="0" xfId="0" applyNumberFormat="1" applyFont="1" applyAlignment="1">
      <alignment horizontal="left" vertical="center"/>
    </xf>
    <xf numFmtId="172" fontId="20" fillId="0" borderId="0" xfId="1" applyNumberFormat="1" applyFont="1" applyFill="1" applyBorder="1" applyAlignment="1">
      <alignment horizontal="center" vertical="center" wrapText="1"/>
    </xf>
    <xf numFmtId="172" fontId="20" fillId="0" borderId="0" xfId="25" applyNumberFormat="1" applyFont="1" applyFill="1" applyBorder="1" applyAlignment="1">
      <alignment vertical="center"/>
    </xf>
    <xf numFmtId="10" fontId="20" fillId="0" borderId="0" xfId="2" applyNumberFormat="1" applyFont="1" applyFill="1" applyBorder="1" applyAlignment="1">
      <alignment horizontal="right" vertical="center"/>
    </xf>
    <xf numFmtId="172" fontId="7" fillId="0" borderId="0" xfId="25" applyNumberFormat="1" applyFont="1" applyFill="1" applyBorder="1" applyAlignment="1">
      <alignment vertical="center"/>
    </xf>
    <xf numFmtId="172" fontId="11" fillId="0" borderId="0" xfId="25" applyNumberFormat="1" applyFont="1" applyFill="1" applyBorder="1" applyAlignment="1">
      <alignment horizontal="justify" vertical="center" wrapText="1"/>
    </xf>
    <xf numFmtId="0" fontId="11" fillId="0" borderId="0" xfId="2" applyNumberFormat="1" applyFont="1" applyFill="1" applyBorder="1" applyAlignment="1">
      <alignment horizontal="right" vertical="center" wrapText="1"/>
    </xf>
    <xf numFmtId="10" fontId="11" fillId="0" borderId="0" xfId="2" applyNumberFormat="1" applyFont="1" applyFill="1" applyBorder="1" applyAlignment="1">
      <alignment horizontal="right" vertical="center" wrapText="1"/>
    </xf>
    <xf numFmtId="0" fontId="19" fillId="0" borderId="3" xfId="0" applyFont="1" applyBorder="1" applyAlignment="1">
      <alignment horizontal="center" vertical="center"/>
    </xf>
    <xf numFmtId="172" fontId="19" fillId="0" borderId="0" xfId="25" applyNumberFormat="1" applyFont="1" applyFill="1" applyBorder="1" applyAlignment="1">
      <alignment horizontal="justify" vertical="center" wrapText="1"/>
    </xf>
    <xf numFmtId="10" fontId="19" fillId="0" borderId="0" xfId="2" applyNumberFormat="1" applyFont="1" applyFill="1" applyBorder="1" applyAlignment="1">
      <alignment horizontal="right" vertical="center" wrapText="1"/>
    </xf>
    <xf numFmtId="0" fontId="31" fillId="0" borderId="0" xfId="0" applyFont="1" applyFill="1" applyAlignment="1">
      <alignment vertical="center" wrapText="1"/>
    </xf>
    <xf numFmtId="3" fontId="20" fillId="12" borderId="3" xfId="6" applyNumberFormat="1" applyFont="1" applyFill="1" applyBorder="1" applyAlignment="1">
      <alignment horizontal="center" vertical="center"/>
    </xf>
    <xf numFmtId="0" fontId="20" fillId="12" borderId="3" xfId="6" applyNumberFormat="1" applyFont="1" applyFill="1" applyBorder="1" applyAlignment="1">
      <alignment horizontal="center" vertical="center"/>
    </xf>
    <xf numFmtId="3" fontId="20" fillId="10" borderId="3" xfId="6" applyNumberFormat="1" applyFont="1" applyFill="1" applyBorder="1" applyAlignment="1">
      <alignment horizontal="center" vertical="center"/>
    </xf>
    <xf numFmtId="0" fontId="20" fillId="10" borderId="3" xfId="6" applyNumberFormat="1" applyFont="1" applyFill="1" applyBorder="1" applyAlignment="1">
      <alignment horizontal="center" vertical="center"/>
    </xf>
    <xf numFmtId="0" fontId="0" fillId="0" borderId="0" xfId="0" applyAlignment="1">
      <alignment vertical="center"/>
    </xf>
    <xf numFmtId="3" fontId="19" fillId="0" borderId="0" xfId="25" applyNumberFormat="1" applyFont="1" applyFill="1" applyAlignment="1">
      <alignment horizontal="center" vertical="center" wrapText="1"/>
    </xf>
    <xf numFmtId="0" fontId="19" fillId="0" borderId="0" xfId="25" applyNumberFormat="1" applyFont="1" applyFill="1" applyAlignment="1">
      <alignment horizontal="center" vertical="center" wrapText="1"/>
    </xf>
    <xf numFmtId="172" fontId="19" fillId="0" borderId="0" xfId="25" applyNumberFormat="1" applyFont="1" applyFill="1" applyAlignment="1">
      <alignment horizontal="justify" vertical="center" wrapText="1"/>
    </xf>
    <xf numFmtId="9" fontId="19" fillId="0" borderId="0" xfId="2" applyFont="1" applyFill="1" applyAlignment="1">
      <alignment horizontal="right" vertical="center" wrapText="1"/>
    </xf>
    <xf numFmtId="172" fontId="20" fillId="0" borderId="0" xfId="25" applyNumberFormat="1" applyFont="1" applyFill="1" applyBorder="1" applyAlignment="1">
      <alignment horizontal="center" vertical="center" wrapText="1"/>
    </xf>
    <xf numFmtId="10" fontId="20" fillId="0" borderId="0" xfId="2" applyNumberFormat="1" applyFont="1" applyFill="1" applyBorder="1" applyAlignment="1">
      <alignment horizontal="right" vertical="center" wrapText="1"/>
    </xf>
    <xf numFmtId="172" fontId="7" fillId="0" borderId="0" xfId="25" applyNumberFormat="1" applyFont="1" applyFill="1" applyBorder="1" applyAlignment="1">
      <alignment horizontal="center" vertical="center" wrapText="1"/>
    </xf>
    <xf numFmtId="3" fontId="19" fillId="0" borderId="3" xfId="25" applyNumberFormat="1" applyFont="1" applyFill="1" applyBorder="1" applyAlignment="1">
      <alignment horizontal="center" vertical="center" wrapText="1"/>
    </xf>
    <xf numFmtId="0" fontId="19" fillId="0" borderId="3" xfId="25" applyNumberFormat="1" applyFont="1" applyFill="1" applyBorder="1" applyAlignment="1">
      <alignment horizontal="center" vertical="center" wrapText="1"/>
    </xf>
    <xf numFmtId="3" fontId="20" fillId="11" borderId="3" xfId="6" applyNumberFormat="1" applyFont="1" applyFill="1" applyBorder="1" applyAlignment="1">
      <alignment horizontal="center" vertical="center"/>
    </xf>
    <xf numFmtId="0" fontId="20" fillId="11" borderId="3" xfId="6" applyNumberFormat="1" applyFont="1" applyFill="1" applyBorder="1" applyAlignment="1">
      <alignment horizontal="center" vertical="center"/>
    </xf>
    <xf numFmtId="0" fontId="19" fillId="0" borderId="0" xfId="0" applyFont="1" applyFill="1" applyBorder="1" applyAlignment="1">
      <alignment horizontal="justify" vertical="center" wrapText="1"/>
    </xf>
    <xf numFmtId="0" fontId="11" fillId="0" borderId="0" xfId="1" applyNumberFormat="1" applyFont="1" applyFill="1" applyBorder="1" applyAlignment="1">
      <alignment horizontal="right" vertical="center" wrapText="1"/>
    </xf>
    <xf numFmtId="10" fontId="11" fillId="0" borderId="0" xfId="2" applyNumberFormat="1" applyFont="1" applyFill="1" applyBorder="1" applyAlignment="1">
      <alignment horizontal="center" vertical="center" wrapText="1"/>
    </xf>
    <xf numFmtId="0" fontId="7" fillId="11" borderId="7" xfId="0" applyFont="1" applyFill="1" applyBorder="1" applyAlignment="1">
      <alignment horizontal="center" vertical="center" wrapText="1"/>
    </xf>
    <xf numFmtId="172" fontId="7" fillId="11" borderId="8" xfId="1" applyNumberFormat="1" applyFont="1" applyFill="1" applyBorder="1" applyAlignment="1">
      <alignment horizontal="center" vertical="center" wrapText="1"/>
    </xf>
    <xf numFmtId="3" fontId="7" fillId="11" borderId="8" xfId="0" applyNumberFormat="1" applyFont="1" applyFill="1" applyBorder="1" applyAlignment="1">
      <alignment horizontal="center" vertical="center" wrapText="1"/>
    </xf>
    <xf numFmtId="172" fontId="7" fillId="11" borderId="88" xfId="25"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172" fontId="20" fillId="11" borderId="35" xfId="1" applyNumberFormat="1" applyFont="1" applyFill="1" applyBorder="1" applyAlignment="1">
      <alignment horizontal="right" vertical="center" wrapText="1"/>
    </xf>
    <xf numFmtId="172" fontId="7" fillId="11" borderId="34" xfId="1" applyNumberFormat="1" applyFont="1" applyFill="1" applyBorder="1" applyAlignment="1">
      <alignment horizontal="right" vertical="center" wrapText="1"/>
    </xf>
    <xf numFmtId="172" fontId="7" fillId="11" borderId="45" xfId="1" applyNumberFormat="1" applyFont="1" applyFill="1" applyBorder="1" applyAlignment="1">
      <alignment horizontal="right" vertical="center" wrapText="1"/>
    </xf>
    <xf numFmtId="0" fontId="21" fillId="0" borderId="4" xfId="0" applyFont="1" applyFill="1" applyBorder="1" applyAlignment="1">
      <alignment horizontal="left" vertical="center" wrapText="1"/>
    </xf>
    <xf numFmtId="182" fontId="19" fillId="0" borderId="3" xfId="1" applyNumberFormat="1" applyFont="1" applyFill="1" applyBorder="1" applyAlignment="1">
      <alignment horizontal="right" vertical="center" wrapText="1"/>
    </xf>
    <xf numFmtId="0" fontId="7" fillId="11" borderId="4" xfId="0" applyFont="1" applyFill="1" applyBorder="1" applyAlignment="1">
      <alignment horizontal="left" vertical="center" wrapText="1"/>
    </xf>
    <xf numFmtId="182" fontId="7" fillId="11" borderId="3" xfId="6" applyNumberFormat="1" applyFont="1" applyFill="1" applyBorder="1" applyAlignment="1">
      <alignment horizontal="right" vertical="center"/>
    </xf>
    <xf numFmtId="3" fontId="20" fillId="11" borderId="3" xfId="0" applyNumberFormat="1" applyFont="1" applyFill="1" applyBorder="1" applyAlignment="1">
      <alignment horizontal="center" vertical="center"/>
    </xf>
    <xf numFmtId="167" fontId="20" fillId="11" borderId="58" xfId="0" applyNumberFormat="1" applyFont="1" applyFill="1" applyBorder="1" applyAlignment="1">
      <alignment horizontal="center" vertical="center"/>
    </xf>
    <xf numFmtId="175" fontId="7" fillId="11" borderId="4" xfId="1" applyNumberFormat="1" applyFont="1" applyFill="1" applyBorder="1" applyAlignment="1">
      <alignment horizontal="right" vertical="center"/>
    </xf>
    <xf numFmtId="182" fontId="20" fillId="10" borderId="3" xfId="1" applyNumberFormat="1" applyFont="1" applyFill="1" applyBorder="1" applyAlignment="1">
      <alignment horizontal="right" vertical="center" wrapText="1"/>
    </xf>
    <xf numFmtId="175" fontId="7" fillId="10" borderId="4" xfId="1" applyNumberFormat="1" applyFont="1" applyFill="1" applyBorder="1" applyAlignment="1">
      <alignment horizontal="right" vertical="center" wrapText="1"/>
    </xf>
    <xf numFmtId="0" fontId="21" fillId="0" borderId="4" xfId="0" applyFont="1" applyFill="1" applyBorder="1" applyAlignment="1">
      <alignment horizontal="left" vertical="center"/>
    </xf>
    <xf numFmtId="175" fontId="11" fillId="0" borderId="4" xfId="1" applyNumberFormat="1" applyFont="1" applyFill="1" applyBorder="1" applyAlignment="1">
      <alignment horizontal="right" vertical="center" wrapText="1"/>
    </xf>
    <xf numFmtId="10" fontId="11" fillId="0" borderId="73" xfId="2" applyNumberFormat="1" applyFont="1" applyFill="1" applyBorder="1" applyAlignment="1">
      <alignment horizontal="center" vertical="center" wrapText="1"/>
    </xf>
    <xf numFmtId="0" fontId="21" fillId="0" borderId="4" xfId="0" applyFont="1" applyBorder="1" applyAlignment="1">
      <alignment horizontal="left" vertical="center"/>
    </xf>
    <xf numFmtId="0" fontId="21" fillId="3" borderId="4" xfId="0" applyFont="1" applyFill="1" applyBorder="1" applyAlignment="1">
      <alignment horizontal="left" vertical="center" wrapText="1"/>
    </xf>
    <xf numFmtId="3" fontId="19" fillId="3" borderId="3" xfId="0" applyNumberFormat="1" applyFont="1" applyFill="1" applyBorder="1" applyAlignment="1">
      <alignment horizontal="center" vertical="center"/>
    </xf>
    <xf numFmtId="0" fontId="19" fillId="3" borderId="58" xfId="0" applyFont="1" applyFill="1" applyBorder="1" applyAlignment="1">
      <alignment horizontal="center" vertical="center"/>
    </xf>
    <xf numFmtId="175" fontId="7" fillId="10" borderId="4" xfId="1" applyNumberFormat="1" applyFont="1" applyFill="1" applyBorder="1" applyAlignment="1">
      <alignment horizontal="right" vertical="center"/>
    </xf>
    <xf numFmtId="0" fontId="19" fillId="0" borderId="4" xfId="0" applyFont="1" applyFill="1" applyBorder="1" applyAlignment="1">
      <alignment horizontal="justify" vertical="center" wrapText="1"/>
    </xf>
    <xf numFmtId="0" fontId="7" fillId="12" borderId="4" xfId="6" applyFont="1" applyFill="1" applyBorder="1" applyAlignment="1">
      <alignment horizontal="left" vertical="center"/>
    </xf>
    <xf numFmtId="3" fontId="20" fillId="12" borderId="3" xfId="0" applyNumberFormat="1" applyFont="1" applyFill="1" applyBorder="1" applyAlignment="1">
      <alignment horizontal="center" vertical="center"/>
    </xf>
    <xf numFmtId="0" fontId="21" fillId="0" borderId="4" xfId="0" applyFont="1" applyBorder="1" applyAlignment="1">
      <alignment vertical="center"/>
    </xf>
    <xf numFmtId="182" fontId="11" fillId="3" borderId="3" xfId="6" applyNumberFormat="1" applyFont="1" applyFill="1" applyBorder="1" applyAlignment="1">
      <alignment horizontal="right" vertical="center"/>
    </xf>
    <xf numFmtId="175" fontId="11" fillId="3" borderId="4" xfId="1" applyNumberFormat="1" applyFont="1" applyFill="1" applyBorder="1" applyAlignment="1">
      <alignment horizontal="right" vertical="center"/>
    </xf>
    <xf numFmtId="0" fontId="21" fillId="0" borderId="36" xfId="0" applyFont="1" applyFill="1" applyBorder="1" applyAlignment="1">
      <alignment horizontal="left" vertical="center" wrapText="1"/>
    </xf>
    <xf numFmtId="182" fontId="19" fillId="0" borderId="37" xfId="1" applyNumberFormat="1" applyFont="1" applyFill="1" applyBorder="1" applyAlignment="1">
      <alignment horizontal="right" vertical="center" wrapText="1"/>
    </xf>
    <xf numFmtId="3" fontId="19" fillId="0" borderId="37" xfId="0" applyNumberFormat="1" applyFont="1" applyFill="1" applyBorder="1" applyAlignment="1">
      <alignment horizontal="center" vertical="center" wrapText="1"/>
    </xf>
    <xf numFmtId="175" fontId="11" fillId="0" borderId="36" xfId="1" applyNumberFormat="1" applyFont="1" applyFill="1" applyBorder="1" applyAlignment="1">
      <alignment horizontal="right" vertical="center" wrapText="1"/>
    </xf>
    <xf numFmtId="0" fontId="7" fillId="11" borderId="48" xfId="6" applyFont="1" applyFill="1" applyBorder="1" applyAlignment="1">
      <alignment horizontal="left" vertical="center"/>
    </xf>
    <xf numFmtId="182" fontId="7" fillId="11" borderId="70" xfId="6" applyNumberFormat="1" applyFont="1" applyFill="1" applyBorder="1" applyAlignment="1">
      <alignment horizontal="right" vertical="center"/>
    </xf>
    <xf numFmtId="3" fontId="20" fillId="11" borderId="70" xfId="0" applyNumberFormat="1" applyFont="1" applyFill="1" applyBorder="1" applyAlignment="1">
      <alignment horizontal="center" vertical="center"/>
    </xf>
    <xf numFmtId="0" fontId="20" fillId="11" borderId="71" xfId="0" applyFont="1" applyFill="1" applyBorder="1" applyAlignment="1">
      <alignment horizontal="center" vertical="center"/>
    </xf>
    <xf numFmtId="175" fontId="7" fillId="11" borderId="48" xfId="1" applyNumberFormat="1" applyFont="1" applyFill="1" applyBorder="1" applyAlignment="1">
      <alignment horizontal="right" vertical="center"/>
    </xf>
    <xf numFmtId="175" fontId="7" fillId="11" borderId="49" xfId="1" applyNumberFormat="1" applyFont="1" applyFill="1" applyBorder="1" applyAlignment="1">
      <alignment horizontal="right" vertical="center"/>
    </xf>
    <xf numFmtId="0" fontId="7" fillId="0" borderId="0" xfId="6" applyFont="1" applyFill="1" applyBorder="1" applyAlignment="1">
      <alignment horizontal="left" vertical="center"/>
    </xf>
    <xf numFmtId="174" fontId="7" fillId="0" borderId="0" xfId="6" applyNumberFormat="1" applyFont="1" applyFill="1" applyBorder="1" applyAlignment="1">
      <alignment horizontal="right" vertical="center"/>
    </xf>
    <xf numFmtId="3"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172" fontId="7" fillId="0" borderId="0" xfId="1" applyNumberFormat="1" applyFont="1" applyFill="1" applyBorder="1" applyAlignment="1">
      <alignment horizontal="right" vertical="center"/>
    </xf>
    <xf numFmtId="10" fontId="7" fillId="0" borderId="0" xfId="2" applyNumberFormat="1" applyFont="1" applyFill="1" applyBorder="1" applyAlignment="1">
      <alignment horizontal="center" vertical="center"/>
    </xf>
    <xf numFmtId="49" fontId="20" fillId="0" borderId="0" xfId="1" applyNumberFormat="1" applyFont="1" applyFill="1" applyBorder="1" applyAlignment="1">
      <alignment horizontal="justify" vertical="center"/>
    </xf>
    <xf numFmtId="172" fontId="19" fillId="0" borderId="0" xfId="2" applyNumberFormat="1" applyFont="1" applyFill="1" applyBorder="1" applyAlignment="1">
      <alignment horizontal="center" vertical="center" wrapText="1"/>
    </xf>
    <xf numFmtId="172" fontId="19" fillId="0" borderId="3" xfId="1" applyNumberFormat="1" applyFont="1" applyFill="1" applyBorder="1" applyAlignment="1">
      <alignment horizontal="right" vertical="center" wrapText="1"/>
    </xf>
    <xf numFmtId="3" fontId="20" fillId="0" borderId="3" xfId="0" applyNumberFormat="1" applyFont="1" applyFill="1" applyBorder="1" applyAlignment="1">
      <alignment horizontal="center" vertical="center"/>
    </xf>
    <xf numFmtId="9" fontId="19" fillId="0" borderId="3" xfId="2" applyFont="1" applyFill="1" applyBorder="1" applyAlignment="1">
      <alignment horizontal="center" vertical="center"/>
    </xf>
    <xf numFmtId="172" fontId="19" fillId="0" borderId="0" xfId="1" applyNumberFormat="1" applyFont="1" applyFill="1" applyBorder="1" applyAlignment="1">
      <alignment horizontal="right" vertical="center" wrapText="1"/>
    </xf>
    <xf numFmtId="175" fontId="20" fillId="0" borderId="0" xfId="1" applyNumberFormat="1" applyFont="1" applyFill="1" applyBorder="1" applyAlignment="1">
      <alignment horizontal="justify" vertical="center"/>
    </xf>
    <xf numFmtId="3" fontId="20" fillId="0" borderId="3" xfId="0" applyNumberFormat="1" applyFont="1" applyFill="1" applyBorder="1" applyAlignment="1">
      <alignment horizontal="center" vertical="center" wrapText="1"/>
    </xf>
    <xf numFmtId="169" fontId="19" fillId="0" borderId="3" xfId="2" applyNumberFormat="1" applyFont="1" applyFill="1" applyBorder="1" applyAlignment="1">
      <alignment horizontal="center" vertical="center" wrapText="1"/>
    </xf>
    <xf numFmtId="0" fontId="20" fillId="16" borderId="3" xfId="0" applyFont="1" applyFill="1" applyBorder="1" applyAlignment="1">
      <alignment horizontal="justify" vertical="center" wrapText="1"/>
    </xf>
    <xf numFmtId="172" fontId="20" fillId="16" borderId="3" xfId="1" applyNumberFormat="1" applyFont="1" applyFill="1" applyBorder="1" applyAlignment="1">
      <alignment horizontal="right" vertical="center" wrapText="1"/>
    </xf>
    <xf numFmtId="176" fontId="19" fillId="0" borderId="0" xfId="17" applyNumberFormat="1" applyFont="1" applyFill="1" applyBorder="1" applyAlignment="1">
      <alignment horizontal="justify" vertical="center" wrapText="1"/>
    </xf>
    <xf numFmtId="0" fontId="19" fillId="17" borderId="3" xfId="0" applyFont="1" applyFill="1" applyBorder="1" applyAlignment="1">
      <alignment horizontal="justify" vertical="center" wrapText="1"/>
    </xf>
    <xf numFmtId="172" fontId="19" fillId="17" borderId="3" xfId="1" applyNumberFormat="1" applyFont="1" applyFill="1" applyBorder="1" applyAlignment="1">
      <alignment horizontal="right" vertical="center" wrapText="1"/>
    </xf>
    <xf numFmtId="175" fontId="19" fillId="0" borderId="0" xfId="2" applyNumberFormat="1" applyFont="1" applyFill="1" applyBorder="1" applyAlignment="1">
      <alignment horizontal="center" vertical="center" wrapText="1"/>
    </xf>
    <xf numFmtId="49" fontId="19" fillId="0" borderId="0" xfId="0" applyNumberFormat="1" applyFont="1" applyFill="1" applyAlignment="1">
      <alignment horizontal="justify" vertical="center"/>
    </xf>
    <xf numFmtId="172" fontId="20" fillId="0" borderId="3" xfId="1" applyNumberFormat="1" applyFont="1" applyFill="1" applyBorder="1" applyAlignment="1">
      <alignment horizontal="right" vertical="center" wrapText="1"/>
    </xf>
    <xf numFmtId="9" fontId="20" fillId="0" borderId="3" xfId="0" applyNumberFormat="1" applyFont="1" applyFill="1" applyBorder="1" applyAlignment="1">
      <alignment horizontal="center" vertical="center" wrapText="1"/>
    </xf>
    <xf numFmtId="172" fontId="20" fillId="0" borderId="3" xfId="0" applyNumberFormat="1" applyFont="1" applyFill="1" applyBorder="1" applyAlignment="1">
      <alignment horizontal="center" vertical="center" wrapText="1"/>
    </xf>
    <xf numFmtId="172" fontId="20" fillId="0" borderId="0" xfId="0" applyNumberFormat="1" applyFont="1" applyFill="1" applyBorder="1" applyAlignment="1">
      <alignment horizontal="center" vertical="center" wrapText="1"/>
    </xf>
    <xf numFmtId="175" fontId="20" fillId="0" borderId="0" xfId="2" applyNumberFormat="1" applyFont="1" applyFill="1" applyBorder="1" applyAlignment="1">
      <alignment horizontal="center" vertical="center" wrapText="1"/>
    </xf>
    <xf numFmtId="167" fontId="19" fillId="0" borderId="0" xfId="1" applyFont="1" applyFill="1" applyAlignment="1">
      <alignment horizontal="right" vertical="center" wrapText="1"/>
    </xf>
    <xf numFmtId="3" fontId="19" fillId="0" borderId="0" xfId="0" applyNumberFormat="1" applyFont="1" applyFill="1" applyAlignment="1">
      <alignment horizontal="center" vertical="center" wrapText="1"/>
    </xf>
    <xf numFmtId="167" fontId="11" fillId="0" borderId="0" xfId="1" applyFont="1" applyFill="1" applyAlignment="1">
      <alignment horizontal="right" vertical="center" wrapText="1"/>
    </xf>
    <xf numFmtId="10" fontId="11" fillId="0" borderId="0" xfId="2" applyNumberFormat="1" applyFont="1" applyFill="1" applyAlignment="1">
      <alignment horizontal="center" vertical="center" wrapText="1"/>
    </xf>
    <xf numFmtId="0" fontId="20" fillId="0" borderId="3" xfId="0" applyFont="1" applyFill="1" applyBorder="1" applyAlignment="1">
      <alignment horizontal="justify" vertical="center" wrapText="1"/>
    </xf>
    <xf numFmtId="10" fontId="20" fillId="0" borderId="0" xfId="2" applyNumberFormat="1" applyFont="1" applyFill="1" applyBorder="1" applyAlignment="1">
      <alignment horizontal="center" vertical="center" wrapText="1"/>
    </xf>
    <xf numFmtId="175" fontId="11" fillId="0" borderId="0" xfId="2" applyNumberFormat="1" applyFont="1" applyFill="1" applyAlignment="1">
      <alignment horizontal="center" vertical="center" wrapText="1"/>
    </xf>
    <xf numFmtId="3" fontId="51" fillId="0" borderId="0" xfId="0" applyNumberFormat="1" applyFont="1"/>
    <xf numFmtId="10" fontId="11" fillId="0" borderId="0" xfId="2" applyNumberFormat="1" applyFont="1" applyFill="1" applyAlignment="1">
      <alignment horizontal="right" vertical="center" wrapText="1"/>
    </xf>
    <xf numFmtId="9" fontId="19" fillId="0" borderId="0" xfId="2" applyFont="1" applyFill="1" applyAlignment="1">
      <alignment horizontal="center" vertical="center" wrapText="1"/>
    </xf>
    <xf numFmtId="10" fontId="19" fillId="0" borderId="0" xfId="2" applyNumberFormat="1" applyFont="1" applyFill="1" applyAlignment="1">
      <alignment horizontal="center" vertical="center" wrapText="1"/>
    </xf>
    <xf numFmtId="172" fontId="30" fillId="0" borderId="0" xfId="1" applyNumberFormat="1" applyFont="1" applyFill="1" applyBorder="1" applyAlignment="1">
      <alignment horizontal="right" vertical="center" wrapText="1"/>
    </xf>
    <xf numFmtId="172" fontId="20" fillId="0" borderId="0" xfId="0" applyNumberFormat="1" applyFont="1" applyFill="1" applyBorder="1" applyAlignment="1">
      <alignment horizontal="left" vertical="center" wrapText="1"/>
    </xf>
    <xf numFmtId="3" fontId="19" fillId="0" borderId="0" xfId="25" applyNumberFormat="1" applyFont="1" applyFill="1" applyBorder="1" applyAlignment="1">
      <alignment horizontal="center" vertical="center" wrapText="1"/>
    </xf>
    <xf numFmtId="0" fontId="19" fillId="0" borderId="0" xfId="25" applyNumberFormat="1" applyFont="1" applyFill="1" applyBorder="1" applyAlignment="1">
      <alignment horizontal="center" vertical="center" wrapText="1"/>
    </xf>
    <xf numFmtId="176" fontId="11" fillId="0" borderId="0" xfId="17"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172" fontId="7" fillId="11" borderId="2" xfId="25" applyNumberFormat="1" applyFont="1" applyFill="1" applyBorder="1" applyAlignment="1">
      <alignment horizontal="center" vertical="center" wrapText="1"/>
    </xf>
    <xf numFmtId="3" fontId="7" fillId="11" borderId="2" xfId="0" applyNumberFormat="1" applyFont="1" applyFill="1" applyBorder="1" applyAlignment="1">
      <alignment horizontal="center" vertical="center" wrapText="1"/>
    </xf>
    <xf numFmtId="0" fontId="20" fillId="11" borderId="40" xfId="0" applyFont="1" applyFill="1" applyBorder="1" applyAlignment="1">
      <alignment horizontal="center" vertical="center" wrapText="1"/>
    </xf>
    <xf numFmtId="0" fontId="20" fillId="11" borderId="38" xfId="0" applyFont="1" applyFill="1" applyBorder="1" applyAlignment="1">
      <alignment horizontal="left" vertical="center" wrapText="1"/>
    </xf>
    <xf numFmtId="3" fontId="20" fillId="11" borderId="33" xfId="0" applyNumberFormat="1" applyFont="1" applyFill="1" applyBorder="1" applyAlignment="1">
      <alignment horizontal="center" vertical="center" wrapText="1"/>
    </xf>
    <xf numFmtId="3" fontId="19" fillId="0" borderId="0" xfId="0" applyNumberFormat="1" applyFont="1" applyFill="1" applyBorder="1" applyAlignment="1">
      <alignment horizontal="justify" vertical="center" wrapText="1"/>
    </xf>
    <xf numFmtId="10" fontId="19" fillId="0" borderId="0" xfId="2" applyNumberFormat="1" applyFont="1" applyFill="1" applyBorder="1" applyAlignment="1">
      <alignment horizontal="justify" vertical="center" wrapText="1"/>
    </xf>
    <xf numFmtId="3" fontId="19" fillId="3" borderId="3" xfId="0" applyNumberFormat="1" applyFont="1" applyFill="1" applyBorder="1" applyAlignment="1">
      <alignment horizontal="center" vertical="center" wrapText="1"/>
    </xf>
    <xf numFmtId="0" fontId="19" fillId="0" borderId="16" xfId="0" applyFont="1" applyFill="1" applyBorder="1" applyAlignment="1">
      <alignment horizontal="justify" vertical="center" wrapText="1"/>
    </xf>
    <xf numFmtId="0" fontId="21" fillId="0" borderId="4" xfId="0" applyFont="1" applyBorder="1" applyAlignment="1">
      <alignment horizontal="left" vertical="center" wrapText="1"/>
    </xf>
    <xf numFmtId="0" fontId="19" fillId="3" borderId="0" xfId="0" applyFont="1" applyFill="1" applyBorder="1" applyAlignment="1">
      <alignment horizontal="justify" vertical="center" wrapText="1"/>
    </xf>
    <xf numFmtId="165" fontId="19" fillId="0" borderId="0" xfId="17" applyFont="1" applyFill="1" applyBorder="1" applyAlignment="1">
      <alignment horizontal="justify" vertical="center" wrapText="1"/>
    </xf>
    <xf numFmtId="3" fontId="20" fillId="12" borderId="3" xfId="0" applyNumberFormat="1" applyFont="1" applyFill="1" applyBorder="1" applyAlignment="1">
      <alignment horizontal="center" vertical="center" wrapText="1"/>
    </xf>
    <xf numFmtId="176" fontId="19" fillId="0" borderId="0" xfId="0" applyNumberFormat="1" applyFont="1" applyFill="1" applyBorder="1" applyAlignment="1">
      <alignment horizontal="justify" vertical="center" wrapText="1"/>
    </xf>
    <xf numFmtId="0" fontId="19" fillId="0" borderId="4" xfId="0" applyFont="1" applyBorder="1" applyAlignment="1">
      <alignment vertical="center" wrapText="1"/>
    </xf>
    <xf numFmtId="3" fontId="11" fillId="0" borderId="0" xfId="0" applyNumberFormat="1" applyFont="1" applyFill="1" applyBorder="1" applyAlignment="1">
      <alignment horizontal="justify" vertical="center" wrapText="1"/>
    </xf>
    <xf numFmtId="0" fontId="11" fillId="0" borderId="0" xfId="0" applyFont="1" applyFill="1" applyBorder="1" applyAlignment="1">
      <alignment horizontal="justify" vertical="center" wrapText="1"/>
    </xf>
    <xf numFmtId="174" fontId="7" fillId="12" borderId="4" xfId="6" applyNumberFormat="1" applyFont="1" applyFill="1" applyBorder="1" applyAlignment="1">
      <alignment horizontal="left" vertical="center"/>
    </xf>
    <xf numFmtId="3" fontId="19" fillId="3" borderId="0" xfId="0" applyNumberFormat="1" applyFont="1" applyFill="1" applyBorder="1" applyAlignment="1">
      <alignment horizontal="justify" vertical="center" wrapText="1"/>
    </xf>
    <xf numFmtId="0" fontId="7" fillId="12" borderId="4" xfId="6" applyFont="1" applyFill="1" applyBorder="1" applyAlignment="1">
      <alignment horizontal="left" vertical="center" wrapText="1"/>
    </xf>
    <xf numFmtId="176" fontId="7" fillId="3" borderId="0" xfId="17" applyNumberFormat="1" applyFont="1" applyFill="1" applyBorder="1" applyAlignment="1">
      <alignment horizontal="right" vertical="center"/>
    </xf>
    <xf numFmtId="175" fontId="20" fillId="3" borderId="0" xfId="25" applyNumberFormat="1" applyFont="1" applyFill="1" applyBorder="1" applyAlignment="1">
      <alignment horizontal="right" vertical="center"/>
    </xf>
    <xf numFmtId="10" fontId="19" fillId="3" borderId="0" xfId="2" applyNumberFormat="1" applyFont="1" applyFill="1" applyBorder="1" applyAlignment="1">
      <alignment horizontal="justify" vertical="center" wrapText="1"/>
    </xf>
    <xf numFmtId="176" fontId="19" fillId="3" borderId="0" xfId="0" applyNumberFormat="1" applyFont="1" applyFill="1" applyBorder="1" applyAlignment="1">
      <alignment horizontal="justify" vertical="center" wrapText="1"/>
    </xf>
    <xf numFmtId="3" fontId="27" fillId="3" borderId="0" xfId="0" applyNumberFormat="1" applyFont="1" applyFill="1" applyBorder="1" applyAlignment="1">
      <alignment horizontal="justify" vertical="center" wrapText="1"/>
    </xf>
    <xf numFmtId="0" fontId="7" fillId="11" borderId="1" xfId="6" applyFont="1" applyFill="1" applyBorder="1" applyAlignment="1">
      <alignment horizontal="left" vertical="center"/>
    </xf>
    <xf numFmtId="3" fontId="20" fillId="11" borderId="2" xfId="0" applyNumberFormat="1" applyFont="1" applyFill="1" applyBorder="1" applyAlignment="1">
      <alignment horizontal="center" vertical="center"/>
    </xf>
    <xf numFmtId="176" fontId="7" fillId="0" borderId="0" xfId="17" applyNumberFormat="1" applyFont="1" applyFill="1" applyBorder="1" applyAlignment="1">
      <alignment horizontal="center" vertical="center"/>
    </xf>
    <xf numFmtId="10" fontId="20" fillId="0" borderId="0" xfId="2" applyNumberFormat="1" applyFont="1" applyFill="1" applyAlignment="1">
      <alignment horizontal="right" vertical="center" wrapText="1"/>
    </xf>
    <xf numFmtId="49" fontId="20" fillId="0" borderId="0" xfId="25" applyNumberFormat="1" applyFont="1" applyFill="1" applyBorder="1" applyAlignment="1">
      <alignment horizontal="justify" vertical="center" wrapText="1"/>
    </xf>
    <xf numFmtId="175" fontId="19" fillId="0" borderId="0" xfId="0" applyNumberFormat="1" applyFont="1" applyFill="1" applyAlignment="1">
      <alignment horizontal="center" vertical="center" wrapText="1"/>
    </xf>
    <xf numFmtId="49" fontId="19" fillId="0" borderId="0" xfId="0" applyNumberFormat="1" applyFont="1" applyFill="1" applyAlignment="1">
      <alignment horizontal="justify" vertical="center" wrapText="1"/>
    </xf>
    <xf numFmtId="175" fontId="27" fillId="3" borderId="0" xfId="1" applyNumberFormat="1" applyFont="1" applyFill="1" applyBorder="1" applyAlignment="1">
      <alignment horizontal="center" vertical="center"/>
    </xf>
    <xf numFmtId="172" fontId="20" fillId="11" borderId="33" xfId="25" applyNumberFormat="1" applyFont="1" applyFill="1" applyBorder="1" applyAlignment="1">
      <alignment horizontal="center" vertical="center" wrapText="1"/>
    </xf>
    <xf numFmtId="182" fontId="19" fillId="3" borderId="3" xfId="25" applyNumberFormat="1" applyFont="1" applyFill="1" applyBorder="1" applyAlignment="1">
      <alignment horizontal="center" vertical="center" wrapText="1"/>
    </xf>
    <xf numFmtId="182" fontId="11" fillId="3" borderId="3" xfId="6" applyNumberFormat="1" applyFont="1" applyFill="1" applyBorder="1" applyAlignment="1">
      <alignment horizontal="center" vertical="center"/>
    </xf>
    <xf numFmtId="182" fontId="7" fillId="11" borderId="3" xfId="6" applyNumberFormat="1" applyFont="1" applyFill="1" applyBorder="1" applyAlignment="1">
      <alignment horizontal="center" vertical="center"/>
    </xf>
    <xf numFmtId="182" fontId="7" fillId="10" borderId="3" xfId="6" applyNumberFormat="1" applyFont="1" applyFill="1" applyBorder="1" applyAlignment="1">
      <alignment horizontal="center" vertical="center"/>
    </xf>
    <xf numFmtId="182" fontId="7" fillId="12" borderId="3" xfId="6" applyNumberFormat="1" applyFont="1" applyFill="1" applyBorder="1" applyAlignment="1">
      <alignment horizontal="center" vertical="center"/>
    </xf>
    <xf numFmtId="182" fontId="19" fillId="0" borderId="3" xfId="25" applyNumberFormat="1" applyFont="1" applyFill="1" applyBorder="1" applyAlignment="1">
      <alignment horizontal="center" vertical="center" wrapText="1"/>
    </xf>
    <xf numFmtId="182" fontId="20" fillId="12" borderId="3" xfId="25" applyNumberFormat="1" applyFont="1" applyFill="1" applyBorder="1" applyAlignment="1">
      <alignment horizontal="center" vertical="center" wrapText="1"/>
    </xf>
    <xf numFmtId="182" fontId="20" fillId="10" borderId="3" xfId="25" applyNumberFormat="1" applyFont="1" applyFill="1" applyBorder="1" applyAlignment="1">
      <alignment horizontal="center" vertical="center" wrapText="1"/>
    </xf>
    <xf numFmtId="172" fontId="19" fillId="0" borderId="3" xfId="1" applyNumberFormat="1" applyFont="1" applyFill="1" applyBorder="1" applyAlignment="1">
      <alignment horizontal="center" vertical="center" wrapText="1"/>
    </xf>
    <xf numFmtId="182" fontId="20" fillId="10" borderId="3" xfId="25" applyNumberFormat="1" applyFont="1" applyFill="1" applyBorder="1" applyAlignment="1">
      <alignment horizontal="center" vertical="center"/>
    </xf>
    <xf numFmtId="182" fontId="20" fillId="12" borderId="3" xfId="25" applyNumberFormat="1" applyFont="1" applyFill="1" applyBorder="1" applyAlignment="1">
      <alignment horizontal="center" vertical="center"/>
    </xf>
    <xf numFmtId="182" fontId="7" fillId="11" borderId="2" xfId="6" applyNumberFormat="1" applyFont="1" applyFill="1" applyBorder="1" applyAlignment="1">
      <alignment horizontal="center" vertical="center"/>
    </xf>
    <xf numFmtId="174" fontId="7" fillId="0" borderId="0" xfId="6" applyNumberFormat="1" applyFont="1" applyFill="1" applyBorder="1" applyAlignment="1">
      <alignment horizontal="center" vertical="center"/>
    </xf>
    <xf numFmtId="167" fontId="19" fillId="0" borderId="0" xfId="25" applyFont="1" applyFill="1" applyAlignment="1">
      <alignment horizontal="center" vertical="center" wrapText="1"/>
    </xf>
    <xf numFmtId="172" fontId="20" fillId="11" borderId="70" xfId="1" applyNumberFormat="1" applyFont="1" applyFill="1" applyBorder="1" applyAlignment="1">
      <alignment horizontal="left" vertical="center" wrapText="1"/>
    </xf>
    <xf numFmtId="0" fontId="20" fillId="11" borderId="70" xfId="0" applyFont="1" applyFill="1" applyBorder="1" applyAlignment="1">
      <alignment horizontal="center" vertical="top" wrapText="1"/>
    </xf>
    <xf numFmtId="0" fontId="20" fillId="11" borderId="71" xfId="0" applyFont="1" applyFill="1" applyBorder="1" applyAlignment="1">
      <alignment horizontal="center" vertical="top" wrapText="1"/>
    </xf>
    <xf numFmtId="172" fontId="20" fillId="11" borderId="12" xfId="1" applyNumberFormat="1" applyFont="1" applyFill="1" applyBorder="1" applyAlignment="1">
      <alignment horizontal="right" vertical="center" wrapText="1"/>
    </xf>
    <xf numFmtId="172" fontId="20" fillId="5" borderId="12" xfId="1" applyNumberFormat="1" applyFont="1" applyFill="1" applyBorder="1" applyAlignment="1">
      <alignment horizontal="right" vertical="center"/>
    </xf>
    <xf numFmtId="172" fontId="20" fillId="11" borderId="48" xfId="1" applyNumberFormat="1" applyFont="1" applyFill="1" applyBorder="1" applyAlignment="1">
      <alignment horizontal="right" vertical="center" wrapText="1"/>
    </xf>
    <xf numFmtId="172" fontId="20" fillId="11" borderId="49" xfId="1" applyNumberFormat="1" applyFont="1" applyFill="1" applyBorder="1" applyAlignment="1">
      <alignment horizontal="right" vertical="center" wrapText="1"/>
    </xf>
    <xf numFmtId="0" fontId="20" fillId="11" borderId="50" xfId="0" applyFont="1" applyFill="1" applyBorder="1" applyAlignment="1">
      <alignment horizontal="justify" vertical="center" wrapText="1"/>
    </xf>
    <xf numFmtId="0" fontId="20" fillId="10" borderId="4" xfId="6" applyFont="1" applyFill="1" applyBorder="1" applyAlignment="1">
      <alignment horizontal="left" vertical="center" wrapText="1"/>
    </xf>
    <xf numFmtId="0" fontId="20" fillId="11" borderId="1" xfId="0" applyFont="1" applyFill="1" applyBorder="1" applyAlignment="1">
      <alignment horizontal="center" vertical="center" wrapText="1"/>
    </xf>
    <xf numFmtId="172" fontId="20" fillId="11" borderId="2" xfId="1" applyNumberFormat="1" applyFont="1" applyFill="1" applyBorder="1" applyAlignment="1">
      <alignment horizontal="center" vertical="center" wrapText="1"/>
    </xf>
    <xf numFmtId="3" fontId="20" fillId="11" borderId="2" xfId="0" applyNumberFormat="1" applyFont="1" applyFill="1" applyBorder="1" applyAlignment="1">
      <alignment horizontal="center" vertical="center" wrapText="1"/>
    </xf>
    <xf numFmtId="0" fontId="20" fillId="11" borderId="2" xfId="0" applyFont="1" applyFill="1" applyBorder="1" applyAlignment="1">
      <alignment horizontal="center" vertical="center" wrapText="1"/>
    </xf>
    <xf numFmtId="172" fontId="7" fillId="11" borderId="1" xfId="1" applyNumberFormat="1" applyFont="1" applyFill="1" applyBorder="1" applyAlignment="1">
      <alignment horizontal="center" vertical="center" wrapText="1"/>
    </xf>
    <xf numFmtId="172" fontId="7" fillId="11" borderId="10" xfId="1" applyNumberFormat="1" applyFont="1" applyFill="1" applyBorder="1" applyAlignment="1">
      <alignment horizontal="center" vertical="center" wrapText="1"/>
    </xf>
    <xf numFmtId="10" fontId="20" fillId="11" borderId="11" xfId="2" applyNumberFormat="1" applyFont="1" applyFill="1" applyBorder="1" applyAlignment="1">
      <alignment horizontal="center" vertical="center" wrapText="1"/>
    </xf>
    <xf numFmtId="172" fontId="7" fillId="11" borderId="45" xfId="1" applyNumberFormat="1" applyFont="1" applyFill="1" applyBorder="1" applyAlignment="1">
      <alignment horizontal="left" vertical="center" wrapText="1"/>
    </xf>
    <xf numFmtId="172" fontId="11" fillId="0" borderId="12" xfId="1" applyNumberFormat="1" applyFont="1" applyFill="1" applyBorder="1" applyAlignment="1">
      <alignment horizontal="left" vertical="center" wrapText="1"/>
    </xf>
    <xf numFmtId="172" fontId="20" fillId="11" borderId="12" xfId="1" applyNumberFormat="1" applyFont="1" applyFill="1" applyBorder="1" applyAlignment="1">
      <alignment horizontal="left" vertical="center" wrapText="1"/>
    </xf>
    <xf numFmtId="172" fontId="20" fillId="10" borderId="12" xfId="1" applyNumberFormat="1" applyFont="1" applyFill="1" applyBorder="1" applyAlignment="1">
      <alignment horizontal="left" vertical="center"/>
    </xf>
    <xf numFmtId="183" fontId="19" fillId="0" borderId="12" xfId="1" applyNumberFormat="1" applyFont="1" applyFill="1" applyBorder="1" applyAlignment="1">
      <alignment horizontal="right" vertical="center" wrapText="1"/>
    </xf>
    <xf numFmtId="172" fontId="19" fillId="0" borderId="12" xfId="1" applyNumberFormat="1" applyFont="1" applyFill="1" applyBorder="1" applyAlignment="1">
      <alignment horizontal="left" vertical="center" wrapText="1"/>
    </xf>
    <xf numFmtId="172" fontId="7" fillId="5" borderId="12" xfId="6" applyNumberFormat="1" applyFont="1" applyFill="1" applyBorder="1" applyAlignment="1">
      <alignment horizontal="left" vertical="center"/>
    </xf>
    <xf numFmtId="10" fontId="20" fillId="11" borderId="19" xfId="2" applyNumberFormat="1" applyFont="1" applyFill="1" applyBorder="1" applyAlignment="1">
      <alignment horizontal="center" vertical="center" wrapText="1"/>
    </xf>
    <xf numFmtId="10" fontId="20" fillId="11" borderId="83" xfId="2" applyNumberFormat="1" applyFont="1" applyFill="1" applyBorder="1" applyAlignment="1">
      <alignment horizontal="center" vertical="center" wrapText="1"/>
    </xf>
    <xf numFmtId="10" fontId="20" fillId="11" borderId="73" xfId="2" applyNumberFormat="1" applyFont="1" applyFill="1" applyBorder="1" applyAlignment="1">
      <alignment horizontal="center" vertical="center" wrapText="1"/>
    </xf>
    <xf numFmtId="10" fontId="7" fillId="5" borderId="73" xfId="2" applyNumberFormat="1" applyFont="1" applyFill="1" applyBorder="1" applyAlignment="1">
      <alignment horizontal="center" vertical="center"/>
    </xf>
    <xf numFmtId="0" fontId="20" fillId="11" borderId="46" xfId="0" applyFont="1" applyFill="1" applyBorder="1" applyAlignment="1">
      <alignment horizontal="justify" vertical="center" wrapText="1"/>
    </xf>
    <xf numFmtId="0" fontId="11" fillId="0" borderId="16" xfId="0" applyFont="1" applyFill="1" applyBorder="1" applyAlignment="1">
      <alignment horizontal="justify" vertical="center" wrapText="1"/>
    </xf>
    <xf numFmtId="0" fontId="20" fillId="11" borderId="16" xfId="0" applyFont="1" applyFill="1" applyBorder="1" applyAlignment="1">
      <alignment horizontal="justify" vertical="center" wrapText="1"/>
    </xf>
    <xf numFmtId="172" fontId="19" fillId="10" borderId="16" xfId="1" applyNumberFormat="1" applyFont="1" applyFill="1" applyBorder="1" applyAlignment="1">
      <alignment vertical="center"/>
    </xf>
    <xf numFmtId="0" fontId="19" fillId="0" borderId="16" xfId="0" applyFont="1" applyFill="1" applyBorder="1" applyAlignment="1">
      <alignment horizontal="justify" vertical="center"/>
    </xf>
    <xf numFmtId="0" fontId="19" fillId="0" borderId="16" xfId="0" applyFont="1" applyBorder="1" applyAlignment="1">
      <alignment horizontal="justify" vertical="center" wrapText="1"/>
    </xf>
    <xf numFmtId="172" fontId="19" fillId="10" borderId="16" xfId="1" applyNumberFormat="1" applyFont="1" applyFill="1" applyBorder="1" applyAlignment="1">
      <alignment horizontal="justify" vertical="top" wrapText="1"/>
    </xf>
    <xf numFmtId="0" fontId="7" fillId="5" borderId="16" xfId="6" applyFont="1" applyFill="1" applyBorder="1" applyAlignment="1">
      <alignment horizontal="left" vertical="center"/>
    </xf>
    <xf numFmtId="0" fontId="11" fillId="0" borderId="16" xfId="0" applyFont="1" applyFill="1" applyBorder="1" applyAlignment="1">
      <alignment horizontal="justify" vertical="top" wrapText="1"/>
    </xf>
    <xf numFmtId="49" fontId="19" fillId="0" borderId="79" xfId="0" applyNumberFormat="1" applyFont="1" applyFill="1" applyBorder="1" applyAlignment="1">
      <alignment horizontal="justify" vertical="center" wrapText="1"/>
    </xf>
    <xf numFmtId="49" fontId="19" fillId="11" borderId="79" xfId="25" applyNumberFormat="1" applyFont="1" applyFill="1" applyBorder="1" applyAlignment="1">
      <alignment horizontal="justify" vertical="center" wrapText="1"/>
    </xf>
    <xf numFmtId="49" fontId="19" fillId="10" borderId="79" xfId="25" applyNumberFormat="1" applyFont="1" applyFill="1" applyBorder="1" applyAlignment="1">
      <alignment horizontal="justify" vertical="center" wrapText="1"/>
    </xf>
    <xf numFmtId="49" fontId="19" fillId="12" borderId="79" xfId="25" applyNumberFormat="1" applyFont="1" applyFill="1" applyBorder="1" applyAlignment="1">
      <alignment horizontal="justify" vertical="center" wrapText="1"/>
    </xf>
    <xf numFmtId="49" fontId="20" fillId="12" borderId="79" xfId="0" applyNumberFormat="1" applyFont="1" applyFill="1" applyBorder="1" applyAlignment="1">
      <alignment horizontal="justify" vertical="center" wrapText="1"/>
    </xf>
    <xf numFmtId="49" fontId="20" fillId="10" borderId="79" xfId="0" applyNumberFormat="1" applyFont="1" applyFill="1" applyBorder="1" applyAlignment="1">
      <alignment horizontal="justify" vertical="center" wrapText="1"/>
    </xf>
    <xf numFmtId="42" fontId="11" fillId="3" borderId="14" xfId="36" applyFont="1" applyFill="1" applyBorder="1" applyAlignment="1">
      <alignment horizontal="center" vertical="center" wrapText="1"/>
    </xf>
    <xf numFmtId="42" fontId="7" fillId="11" borderId="14" xfId="36" applyFont="1" applyFill="1" applyBorder="1" applyAlignment="1">
      <alignment horizontal="center" vertical="center"/>
    </xf>
    <xf numFmtId="42" fontId="7" fillId="10" borderId="14" xfId="36" applyFont="1" applyFill="1" applyBorder="1" applyAlignment="1">
      <alignment horizontal="center" vertical="center"/>
    </xf>
    <xf numFmtId="42" fontId="7" fillId="12" borderId="14" xfId="36" applyFont="1" applyFill="1" applyBorder="1" applyAlignment="1">
      <alignment horizontal="center" vertical="center"/>
    </xf>
    <xf numFmtId="42" fontId="11" fillId="0" borderId="14" xfId="36" applyFont="1" applyFill="1" applyBorder="1" applyAlignment="1">
      <alignment horizontal="center" vertical="center" wrapText="1"/>
    </xf>
    <xf numFmtId="42" fontId="7" fillId="12" borderId="14" xfId="36" applyFont="1" applyFill="1" applyBorder="1" applyAlignment="1">
      <alignment horizontal="center" vertical="center" wrapText="1"/>
    </xf>
    <xf numFmtId="172" fontId="19" fillId="0" borderId="14" xfId="1" applyNumberFormat="1" applyFont="1" applyFill="1" applyBorder="1" applyAlignment="1">
      <alignment horizontal="justify" vertical="center" wrapText="1"/>
    </xf>
    <xf numFmtId="42" fontId="11" fillId="0" borderId="14" xfId="36" applyFont="1" applyFill="1" applyBorder="1" applyAlignment="1">
      <alignment horizontal="center" vertical="center"/>
    </xf>
    <xf numFmtId="0" fontId="19" fillId="3" borderId="12" xfId="0" applyFont="1" applyFill="1" applyBorder="1" applyAlignment="1">
      <alignment horizontal="center" vertical="center" wrapText="1"/>
    </xf>
    <xf numFmtId="0" fontId="19" fillId="0" borderId="12" xfId="0" applyFont="1" applyFill="1" applyBorder="1" applyAlignment="1">
      <alignment horizontal="center" vertical="center" wrapText="1"/>
    </xf>
    <xf numFmtId="167" fontId="20" fillId="11" borderId="12" xfId="0" applyNumberFormat="1" applyFont="1" applyFill="1" applyBorder="1" applyAlignment="1">
      <alignment horizontal="center" vertical="center"/>
    </xf>
    <xf numFmtId="0" fontId="20" fillId="10" borderId="12" xfId="0" applyFont="1" applyFill="1" applyBorder="1" applyAlignment="1">
      <alignment horizontal="center" vertical="center"/>
    </xf>
    <xf numFmtId="0" fontId="20" fillId="12"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9" fillId="3" borderId="12" xfId="0" applyFont="1" applyFill="1" applyBorder="1" applyAlignment="1">
      <alignment horizontal="center" vertical="center"/>
    </xf>
    <xf numFmtId="0" fontId="20" fillId="11" borderId="39" xfId="0" applyFont="1" applyFill="1" applyBorder="1" applyAlignment="1">
      <alignment horizontal="center" vertical="center" wrapText="1"/>
    </xf>
    <xf numFmtId="42" fontId="7" fillId="11" borderId="89" xfId="36" applyFont="1" applyFill="1" applyBorder="1" applyAlignment="1">
      <alignment horizontal="center" vertical="center" wrapText="1"/>
    </xf>
    <xf numFmtId="49" fontId="20" fillId="11" borderId="106" xfId="0" applyNumberFormat="1" applyFont="1" applyFill="1" applyBorder="1" applyAlignment="1">
      <alignment horizontal="justify" vertical="center" wrapText="1"/>
    </xf>
    <xf numFmtId="0" fontId="20" fillId="11" borderId="10" xfId="0" applyFont="1" applyFill="1" applyBorder="1" applyAlignment="1">
      <alignment horizontal="center" vertical="center" wrapText="1"/>
    </xf>
    <xf numFmtId="176" fontId="7" fillId="11" borderId="41" xfId="17" applyNumberFormat="1" applyFont="1" applyFill="1" applyBorder="1" applyAlignment="1">
      <alignment horizontal="center" vertical="center" wrapText="1"/>
    </xf>
    <xf numFmtId="49" fontId="7" fillId="11" borderId="11" xfId="0" applyNumberFormat="1" applyFont="1" applyFill="1" applyBorder="1" applyAlignment="1">
      <alignment horizontal="center" vertical="center" wrapText="1"/>
    </xf>
    <xf numFmtId="0" fontId="19"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center" vertical="center" wrapText="1"/>
    </xf>
    <xf numFmtId="0" fontId="19" fillId="0" borderId="0" xfId="1" applyNumberFormat="1" applyFont="1" applyFill="1" applyBorder="1" applyAlignment="1">
      <alignment horizontal="center" vertical="center" wrapText="1"/>
    </xf>
    <xf numFmtId="49" fontId="7" fillId="11" borderId="44" xfId="0" applyNumberFormat="1" applyFont="1" applyFill="1" applyBorder="1" applyAlignment="1">
      <alignment horizontal="center" vertical="center" wrapText="1"/>
    </xf>
    <xf numFmtId="49" fontId="20" fillId="11" borderId="84" xfId="0" applyNumberFormat="1" applyFont="1" applyFill="1" applyBorder="1" applyAlignment="1">
      <alignment horizontal="justify" vertical="center"/>
    </xf>
    <xf numFmtId="49" fontId="19" fillId="0" borderId="79" xfId="0" applyNumberFormat="1" applyFont="1" applyFill="1" applyBorder="1" applyAlignment="1">
      <alignment horizontal="justify" vertical="center"/>
    </xf>
    <xf numFmtId="49" fontId="19" fillId="11" borderId="79" xfId="1" applyNumberFormat="1" applyFont="1" applyFill="1" applyBorder="1" applyAlignment="1">
      <alignment vertical="center"/>
    </xf>
    <xf numFmtId="49" fontId="20" fillId="10" borderId="79" xfId="0" applyNumberFormat="1" applyFont="1" applyFill="1" applyBorder="1" applyAlignment="1">
      <alignment horizontal="justify" vertical="center"/>
    </xf>
    <xf numFmtId="49" fontId="19" fillId="0" borderId="80" xfId="0" applyNumberFormat="1" applyFont="1" applyFill="1" applyBorder="1" applyAlignment="1">
      <alignment horizontal="justify" vertical="center"/>
    </xf>
    <xf numFmtId="49" fontId="20" fillId="11" borderId="50" xfId="1" applyNumberFormat="1" applyFont="1" applyFill="1" applyBorder="1" applyAlignment="1">
      <alignment horizontal="justify" vertical="center"/>
    </xf>
    <xf numFmtId="10" fontId="7" fillId="11" borderId="44" xfId="2" applyNumberFormat="1" applyFont="1" applyFill="1" applyBorder="1" applyAlignment="1">
      <alignment horizontal="center" vertical="center" wrapText="1"/>
    </xf>
    <xf numFmtId="10" fontId="11" fillId="0" borderId="79" xfId="2" applyNumberFormat="1" applyFont="1" applyFill="1" applyBorder="1" applyAlignment="1">
      <alignment horizontal="center" vertical="center" wrapText="1"/>
    </xf>
    <xf numFmtId="10" fontId="7" fillId="11" borderId="50" xfId="2" applyNumberFormat="1" applyFont="1" applyFill="1" applyBorder="1" applyAlignment="1">
      <alignment horizontal="center" vertical="center"/>
    </xf>
    <xf numFmtId="0" fontId="19" fillId="3" borderId="4" xfId="0" applyFont="1" applyFill="1" applyBorder="1" applyAlignment="1">
      <alignment horizontal="left" vertical="center" wrapText="1"/>
    </xf>
    <xf numFmtId="0" fontId="20" fillId="10" borderId="4" xfId="6" applyFont="1" applyFill="1" applyBorder="1" applyAlignment="1">
      <alignment horizontal="left" vertical="center"/>
    </xf>
    <xf numFmtId="0" fontId="20" fillId="12" borderId="4" xfId="6" applyFont="1" applyFill="1" applyBorder="1" applyAlignment="1">
      <alignment horizontal="left" vertical="center" wrapText="1"/>
    </xf>
    <xf numFmtId="3" fontId="20" fillId="11" borderId="33" xfId="25" applyNumberFormat="1" applyFont="1" applyFill="1" applyBorder="1" applyAlignment="1">
      <alignment horizontal="center" vertical="center" wrapText="1"/>
    </xf>
    <xf numFmtId="0" fontId="20" fillId="11" borderId="33" xfId="25" applyNumberFormat="1" applyFont="1" applyFill="1" applyBorder="1" applyAlignment="1">
      <alignment horizontal="center" vertical="center" wrapText="1"/>
    </xf>
    <xf numFmtId="0" fontId="20" fillId="11" borderId="78" xfId="25" applyNumberFormat="1" applyFont="1" applyFill="1" applyBorder="1" applyAlignment="1">
      <alignment horizontal="center" vertical="center" wrapText="1"/>
    </xf>
    <xf numFmtId="0" fontId="19" fillId="0" borderId="58" xfId="25" applyNumberFormat="1" applyFont="1" applyFill="1" applyBorder="1" applyAlignment="1">
      <alignment horizontal="center" vertical="center" wrapText="1"/>
    </xf>
    <xf numFmtId="0" fontId="20" fillId="11" borderId="58" xfId="6" applyNumberFormat="1" applyFont="1" applyFill="1" applyBorder="1" applyAlignment="1">
      <alignment horizontal="center" vertical="center"/>
    </xf>
    <xf numFmtId="0" fontId="20" fillId="10" borderId="58" xfId="6" applyNumberFormat="1" applyFont="1" applyFill="1" applyBorder="1" applyAlignment="1">
      <alignment horizontal="center" vertical="center"/>
    </xf>
    <xf numFmtId="0" fontId="20" fillId="12" borderId="58" xfId="6" applyNumberFormat="1" applyFont="1" applyFill="1" applyBorder="1" applyAlignment="1">
      <alignment horizontal="center" vertical="center"/>
    </xf>
    <xf numFmtId="0" fontId="20" fillId="11" borderId="11" xfId="0" applyFont="1" applyFill="1" applyBorder="1" applyAlignment="1">
      <alignment horizontal="center" vertical="center" wrapText="1"/>
    </xf>
    <xf numFmtId="0" fontId="20" fillId="11" borderId="106" xfId="0" applyFont="1" applyFill="1" applyBorder="1" applyAlignment="1">
      <alignment horizontal="justify" vertical="center" wrapText="1"/>
    </xf>
    <xf numFmtId="183" fontId="19" fillId="3" borderId="79" xfId="26" applyNumberFormat="1" applyFont="1" applyFill="1" applyBorder="1" applyAlignment="1">
      <alignment horizontal="justify" vertical="center" wrapText="1"/>
    </xf>
    <xf numFmtId="172" fontId="20" fillId="11" borderId="79" xfId="25" applyNumberFormat="1" applyFont="1" applyFill="1" applyBorder="1" applyAlignment="1">
      <alignment horizontal="justify" vertical="center"/>
    </xf>
    <xf numFmtId="172" fontId="20" fillId="10" borderId="79" xfId="25" applyNumberFormat="1" applyFont="1" applyFill="1" applyBorder="1" applyAlignment="1">
      <alignment horizontal="justify" vertical="center"/>
    </xf>
    <xf numFmtId="183" fontId="19" fillId="0" borderId="79" xfId="26" applyNumberFormat="1" applyFont="1" applyFill="1" applyBorder="1" applyAlignment="1">
      <alignment horizontal="justify" vertical="center" wrapText="1"/>
    </xf>
    <xf numFmtId="172" fontId="20" fillId="12" borderId="79" xfId="25" applyNumberFormat="1" applyFont="1" applyFill="1" applyBorder="1" applyAlignment="1">
      <alignment horizontal="justify" vertical="center" wrapText="1"/>
    </xf>
    <xf numFmtId="0" fontId="20" fillId="11" borderId="6" xfId="0" applyFont="1" applyFill="1" applyBorder="1" applyAlignment="1">
      <alignment horizontal="center" vertical="center" wrapText="1"/>
    </xf>
    <xf numFmtId="172" fontId="20" fillId="11" borderId="15" xfId="25" applyNumberFormat="1" applyFont="1" applyFill="1" applyBorder="1" applyAlignment="1">
      <alignment horizontal="center" vertical="center" wrapText="1"/>
    </xf>
    <xf numFmtId="172" fontId="19" fillId="0" borderId="16" xfId="25" applyNumberFormat="1" applyFont="1" applyFill="1" applyBorder="1" applyAlignment="1">
      <alignment horizontal="justify" vertical="center" wrapText="1"/>
    </xf>
    <xf numFmtId="172" fontId="20" fillId="11" borderId="16" xfId="25" applyNumberFormat="1" applyFont="1" applyFill="1" applyBorder="1" applyAlignment="1">
      <alignment vertical="center"/>
    </xf>
    <xf numFmtId="172" fontId="20" fillId="10" borderId="16" xfId="25" applyNumberFormat="1" applyFont="1" applyFill="1" applyBorder="1" applyAlignment="1">
      <alignment vertical="center"/>
    </xf>
    <xf numFmtId="172" fontId="20" fillId="12" borderId="16" xfId="25" applyNumberFormat="1" applyFont="1" applyFill="1" applyBorder="1" applyAlignment="1">
      <alignment vertical="center"/>
    </xf>
    <xf numFmtId="0" fontId="20" fillId="10" borderId="56" xfId="6" applyFont="1" applyFill="1" applyBorder="1" applyAlignment="1">
      <alignment horizontal="left" vertical="center"/>
    </xf>
    <xf numFmtId="3" fontId="20" fillId="10" borderId="55" xfId="6" applyNumberFormat="1" applyFont="1" applyFill="1" applyBorder="1" applyAlignment="1">
      <alignment horizontal="center" vertical="center"/>
    </xf>
    <xf numFmtId="0" fontId="20" fillId="10" borderId="55" xfId="6" applyNumberFormat="1" applyFont="1" applyFill="1" applyBorder="1" applyAlignment="1">
      <alignment horizontal="center" vertical="center"/>
    </xf>
    <xf numFmtId="0" fontId="20" fillId="10" borderId="104" xfId="6" applyNumberFormat="1" applyFont="1" applyFill="1" applyBorder="1" applyAlignment="1">
      <alignment horizontal="center" vertical="center"/>
    </xf>
    <xf numFmtId="172" fontId="20" fillId="10" borderId="105" xfId="25" applyNumberFormat="1" applyFont="1" applyFill="1" applyBorder="1" applyAlignment="1">
      <alignment vertical="center"/>
    </xf>
    <xf numFmtId="0" fontId="19" fillId="10" borderId="107" xfId="6" applyNumberFormat="1" applyFont="1" applyFill="1" applyBorder="1" applyAlignment="1">
      <alignment horizontal="justify" vertical="center" wrapText="1"/>
    </xf>
    <xf numFmtId="3" fontId="20" fillId="11" borderId="2" xfId="6" applyNumberFormat="1" applyFont="1" applyFill="1" applyBorder="1" applyAlignment="1">
      <alignment horizontal="center" vertical="center"/>
    </xf>
    <xf numFmtId="0" fontId="20" fillId="11" borderId="2" xfId="6" applyNumberFormat="1" applyFont="1" applyFill="1" applyBorder="1" applyAlignment="1">
      <alignment horizontal="center" vertical="center"/>
    </xf>
    <xf numFmtId="0" fontId="20" fillId="11" borderId="40" xfId="6" applyNumberFormat="1" applyFont="1" applyFill="1" applyBorder="1" applyAlignment="1">
      <alignment horizontal="center" vertical="center"/>
    </xf>
    <xf numFmtId="172" fontId="20" fillId="11" borderId="6" xfId="25" applyNumberFormat="1" applyFont="1" applyFill="1" applyBorder="1" applyAlignment="1">
      <alignment vertical="center"/>
    </xf>
    <xf numFmtId="172" fontId="20" fillId="11" borderId="11" xfId="25" applyNumberFormat="1" applyFont="1" applyFill="1" applyBorder="1" applyAlignment="1">
      <alignment vertical="center"/>
    </xf>
    <xf numFmtId="183" fontId="20" fillId="11" borderId="33" xfId="26" applyNumberFormat="1" applyFont="1" applyFill="1" applyBorder="1" applyAlignment="1">
      <alignment horizontal="center" vertical="center" wrapText="1"/>
    </xf>
    <xf numFmtId="175" fontId="19" fillId="0" borderId="3" xfId="26" applyNumberFormat="1" applyFont="1" applyFill="1" applyBorder="1" applyAlignment="1">
      <alignment horizontal="center" vertical="center" wrapText="1"/>
    </xf>
    <xf numFmtId="175" fontId="20" fillId="11" borderId="3" xfId="26" applyNumberFormat="1" applyFont="1" applyFill="1" applyBorder="1" applyAlignment="1">
      <alignment horizontal="center" vertical="center"/>
    </xf>
    <xf numFmtId="175" fontId="20" fillId="10" borderId="3" xfId="26" applyNumberFormat="1" applyFont="1" applyFill="1" applyBorder="1" applyAlignment="1">
      <alignment horizontal="center" vertical="center"/>
    </xf>
    <xf numFmtId="175" fontId="20" fillId="12" borderId="3" xfId="26" applyNumberFormat="1" applyFont="1" applyFill="1" applyBorder="1" applyAlignment="1">
      <alignment horizontal="center" vertical="center"/>
    </xf>
    <xf numFmtId="175" fontId="20" fillId="10" borderId="55" xfId="6" applyNumberFormat="1" applyFont="1" applyFill="1" applyBorder="1" applyAlignment="1">
      <alignment horizontal="center" vertical="center"/>
    </xf>
    <xf numFmtId="183" fontId="20" fillId="11" borderId="2" xfId="26" applyNumberFormat="1" applyFont="1" applyFill="1" applyBorder="1" applyAlignment="1">
      <alignment horizontal="center" vertical="center"/>
    </xf>
    <xf numFmtId="0" fontId="0" fillId="0" borderId="0" xfId="0" applyAlignment="1">
      <alignment horizontal="center" vertical="center"/>
    </xf>
    <xf numFmtId="10" fontId="20" fillId="10" borderId="79" xfId="2" applyNumberFormat="1" applyFont="1" applyFill="1" applyBorder="1" applyAlignment="1">
      <alignment horizontal="center" vertical="center" wrapText="1"/>
    </xf>
    <xf numFmtId="10" fontId="19" fillId="0" borderId="79" xfId="2" applyNumberFormat="1" applyFont="1" applyFill="1" applyBorder="1" applyAlignment="1">
      <alignment horizontal="center" vertical="center" wrapText="1"/>
    </xf>
    <xf numFmtId="41" fontId="20" fillId="0" borderId="0" xfId="35" applyFont="1" applyAlignment="1">
      <alignment horizontal="center"/>
    </xf>
    <xf numFmtId="41" fontId="19" fillId="0" borderId="0" xfId="35" applyFont="1"/>
    <xf numFmtId="10" fontId="20" fillId="11" borderId="84" xfId="2" applyNumberFormat="1" applyFont="1" applyFill="1" applyBorder="1" applyAlignment="1">
      <alignment horizontal="center" vertical="center" wrapText="1"/>
    </xf>
    <xf numFmtId="10" fontId="20" fillId="11" borderId="79" xfId="2" applyNumberFormat="1" applyFont="1" applyFill="1" applyBorder="1" applyAlignment="1">
      <alignment horizontal="center" vertical="center" wrapText="1"/>
    </xf>
    <xf numFmtId="10" fontId="20" fillId="5" borderId="79" xfId="2" applyNumberFormat="1" applyFont="1" applyFill="1" applyBorder="1" applyAlignment="1">
      <alignment horizontal="center" vertical="center" wrapText="1"/>
    </xf>
    <xf numFmtId="10" fontId="20" fillId="11" borderId="50" xfId="2" applyNumberFormat="1" applyFont="1" applyFill="1" applyBorder="1" applyAlignment="1">
      <alignment horizontal="center" vertical="center" wrapText="1"/>
    </xf>
    <xf numFmtId="172" fontId="19" fillId="0" borderId="0" xfId="2" applyNumberFormat="1" applyFont="1" applyFill="1" applyAlignment="1">
      <alignment horizontal="center" vertical="center" wrapText="1"/>
    </xf>
    <xf numFmtId="10" fontId="19" fillId="0" borderId="80" xfId="2" applyNumberFormat="1" applyFont="1" applyFill="1" applyBorder="1" applyAlignment="1">
      <alignment horizontal="center" vertical="center" wrapText="1"/>
    </xf>
    <xf numFmtId="10" fontId="20" fillId="10" borderId="73" xfId="2" applyNumberFormat="1" applyFont="1" applyFill="1" applyBorder="1" applyAlignment="1">
      <alignment horizontal="center" vertical="center" wrapText="1"/>
    </xf>
    <xf numFmtId="172" fontId="19" fillId="0" borderId="0" xfId="0" applyNumberFormat="1" applyFont="1" applyAlignment="1">
      <alignment horizontal="center" vertical="center"/>
    </xf>
    <xf numFmtId="10" fontId="20" fillId="0" borderId="0" xfId="2" applyNumberFormat="1" applyFont="1" applyFill="1" applyAlignment="1">
      <alignment horizontal="center" vertical="center" wrapText="1"/>
    </xf>
    <xf numFmtId="176" fontId="20" fillId="0" borderId="0" xfId="2" applyNumberFormat="1" applyFont="1" applyFill="1" applyAlignment="1">
      <alignment horizontal="center" vertical="center" wrapText="1"/>
    </xf>
    <xf numFmtId="10" fontId="35" fillId="5" borderId="59" xfId="2" applyNumberFormat="1" applyFont="1" applyFill="1" applyBorder="1" applyAlignment="1">
      <alignment horizontal="center"/>
    </xf>
    <xf numFmtId="10" fontId="36" fillId="0" borderId="77" xfId="2" applyNumberFormat="1" applyFont="1" applyFill="1" applyBorder="1" applyAlignment="1">
      <alignment horizontal="center"/>
    </xf>
    <xf numFmtId="10" fontId="36" fillId="0" borderId="60" xfId="2" applyNumberFormat="1" applyFont="1" applyBorder="1" applyAlignment="1">
      <alignment horizontal="center"/>
    </xf>
    <xf numFmtId="10" fontId="35" fillId="5" borderId="60" xfId="2" applyNumberFormat="1" applyFont="1" applyFill="1" applyBorder="1" applyAlignment="1">
      <alignment horizontal="center"/>
    </xf>
    <xf numFmtId="10" fontId="36" fillId="0" borderId="59" xfId="2" applyNumberFormat="1" applyFont="1" applyBorder="1" applyAlignment="1">
      <alignment horizontal="center"/>
    </xf>
    <xf numFmtId="10" fontId="36" fillId="0" borderId="61" xfId="2" applyNumberFormat="1" applyFont="1" applyBorder="1" applyAlignment="1">
      <alignment horizontal="center"/>
    </xf>
    <xf numFmtId="10" fontId="35" fillId="5" borderId="6" xfId="2" applyNumberFormat="1" applyFont="1" applyFill="1" applyBorder="1" applyAlignment="1">
      <alignment horizontal="center"/>
    </xf>
    <xf numFmtId="10" fontId="36" fillId="0" borderId="53" xfId="2" applyNumberFormat="1" applyFont="1" applyBorder="1" applyAlignment="1">
      <alignment horizontal="center"/>
    </xf>
    <xf numFmtId="10" fontId="35" fillId="5" borderId="62" xfId="2" applyNumberFormat="1" applyFont="1" applyFill="1" applyBorder="1" applyAlignment="1">
      <alignment horizontal="center"/>
    </xf>
    <xf numFmtId="10" fontId="35" fillId="5" borderId="63" xfId="2" applyNumberFormat="1" applyFont="1" applyFill="1" applyBorder="1" applyAlignment="1">
      <alignment horizontal="center"/>
    </xf>
    <xf numFmtId="10" fontId="36" fillId="0" borderId="0" xfId="2" applyNumberFormat="1" applyFont="1" applyAlignment="1">
      <alignment horizontal="center"/>
    </xf>
    <xf numFmtId="176" fontId="38" fillId="0" borderId="0" xfId="2" applyNumberFormat="1" applyFont="1" applyAlignment="1">
      <alignment horizontal="center"/>
    </xf>
    <xf numFmtId="10" fontId="38" fillId="0" borderId="0" xfId="17" applyNumberFormat="1" applyFont="1" applyAlignment="1">
      <alignment horizontal="center"/>
    </xf>
    <xf numFmtId="176" fontId="36" fillId="0" borderId="0" xfId="17" applyNumberFormat="1" applyFont="1" applyAlignment="1">
      <alignment horizontal="center"/>
    </xf>
    <xf numFmtId="176" fontId="38" fillId="0" borderId="0" xfId="17" applyNumberFormat="1" applyFont="1" applyAlignment="1">
      <alignment horizontal="center"/>
    </xf>
    <xf numFmtId="10" fontId="38" fillId="0" borderId="0" xfId="3" applyNumberFormat="1" applyFont="1" applyAlignment="1">
      <alignment horizontal="center"/>
    </xf>
    <xf numFmtId="176" fontId="35" fillId="0" borderId="62" xfId="17" applyNumberFormat="1" applyFont="1" applyFill="1" applyBorder="1" applyAlignment="1">
      <alignment horizontal="center" vertical="center"/>
    </xf>
    <xf numFmtId="176" fontId="35" fillId="0" borderId="63" xfId="17" applyNumberFormat="1" applyFont="1" applyFill="1" applyBorder="1" applyAlignment="1">
      <alignment horizontal="center" vertical="center"/>
    </xf>
    <xf numFmtId="0" fontId="5" fillId="0" borderId="0" xfId="0" applyFont="1" applyAlignment="1">
      <alignment horizontal="left" wrapText="1"/>
    </xf>
    <xf numFmtId="172" fontId="7" fillId="11" borderId="2" xfId="1" applyNumberFormat="1" applyFont="1" applyFill="1" applyBorder="1" applyAlignment="1">
      <alignment horizontal="right" vertical="center" wrapText="1"/>
    </xf>
    <xf numFmtId="0" fontId="20" fillId="11" borderId="46" xfId="0" applyFont="1" applyFill="1" applyBorder="1" applyAlignment="1">
      <alignment horizontal="justify" vertical="top" wrapText="1"/>
    </xf>
    <xf numFmtId="0" fontId="19" fillId="3" borderId="16" xfId="0" applyFont="1" applyFill="1" applyBorder="1" applyAlignment="1">
      <alignment horizontal="justify" vertical="top" wrapText="1"/>
    </xf>
    <xf numFmtId="0" fontId="19" fillId="0" borderId="16" xfId="0" applyFont="1" applyFill="1" applyBorder="1" applyAlignment="1">
      <alignment horizontal="justify" vertical="top" wrapText="1"/>
    </xf>
    <xf numFmtId="172" fontId="19" fillId="11" borderId="16" xfId="1" applyNumberFormat="1" applyFont="1" applyFill="1" applyBorder="1" applyAlignment="1">
      <alignment horizontal="justify" vertical="top" wrapText="1"/>
    </xf>
    <xf numFmtId="0" fontId="19" fillId="10" borderId="16" xfId="0" applyFont="1" applyFill="1" applyBorder="1" applyAlignment="1">
      <alignment horizontal="justify" vertical="top" wrapText="1"/>
    </xf>
    <xf numFmtId="172" fontId="11" fillId="5" borderId="16" xfId="1" applyNumberFormat="1" applyFont="1" applyFill="1" applyBorder="1" applyAlignment="1">
      <alignment horizontal="justify" vertical="top" wrapText="1"/>
    </xf>
    <xf numFmtId="172" fontId="19" fillId="5" borderId="16" xfId="1" applyNumberFormat="1" applyFont="1" applyFill="1" applyBorder="1" applyAlignment="1">
      <alignment horizontal="justify" vertical="top" wrapText="1"/>
    </xf>
    <xf numFmtId="0" fontId="11" fillId="10" borderId="16" xfId="0" applyFont="1" applyFill="1" applyBorder="1" applyAlignment="1">
      <alignment horizontal="justify" vertical="top" wrapText="1"/>
    </xf>
    <xf numFmtId="0" fontId="19" fillId="10" borderId="17" xfId="0" applyFont="1" applyFill="1" applyBorder="1" applyAlignment="1">
      <alignment horizontal="justify" vertical="top" wrapText="1"/>
    </xf>
    <xf numFmtId="172" fontId="7" fillId="11" borderId="57" xfId="1" applyNumberFormat="1" applyFont="1" applyFill="1" applyBorder="1" applyAlignment="1">
      <alignment horizontal="center" vertical="center" wrapText="1"/>
    </xf>
    <xf numFmtId="172" fontId="19" fillId="0" borderId="58" xfId="1" applyNumberFormat="1" applyFont="1" applyFill="1" applyBorder="1" applyAlignment="1">
      <alignment horizontal="justify" vertical="center" wrapText="1"/>
    </xf>
    <xf numFmtId="172" fontId="11" fillId="0" borderId="58" xfId="1" applyNumberFormat="1" applyFont="1" applyFill="1" applyBorder="1" applyAlignment="1">
      <alignment horizontal="justify" vertical="center" wrapText="1"/>
    </xf>
    <xf numFmtId="172" fontId="7" fillId="10" borderId="58" xfId="1" applyNumberFormat="1" applyFont="1" applyFill="1" applyBorder="1" applyAlignment="1">
      <alignment vertical="center" wrapText="1"/>
    </xf>
    <xf numFmtId="172" fontId="11" fillId="0" borderId="58" xfId="25" applyNumberFormat="1" applyFont="1" applyFill="1" applyBorder="1" applyAlignment="1">
      <alignment horizontal="justify" vertical="center" wrapText="1"/>
    </xf>
    <xf numFmtId="172" fontId="19" fillId="0" borderId="58" xfId="1" applyNumberFormat="1" applyFont="1" applyFill="1" applyBorder="1" applyAlignment="1">
      <alignment horizontal="right" vertical="center" wrapText="1"/>
    </xf>
    <xf numFmtId="172" fontId="19" fillId="0" borderId="58" xfId="25" applyNumberFormat="1" applyFont="1" applyFill="1" applyBorder="1" applyAlignment="1">
      <alignment horizontal="justify" vertical="center" wrapText="1"/>
    </xf>
    <xf numFmtId="172" fontId="7" fillId="10" borderId="58" xfId="1" applyNumberFormat="1" applyFont="1" applyFill="1" applyBorder="1" applyAlignment="1">
      <alignment vertical="center"/>
    </xf>
    <xf numFmtId="172" fontId="7" fillId="5" borderId="58" xfId="1" applyNumberFormat="1" applyFont="1" applyFill="1" applyBorder="1" applyAlignment="1">
      <alignment vertical="center" wrapText="1"/>
    </xf>
    <xf numFmtId="10" fontId="20" fillId="11" borderId="82" xfId="2" applyNumberFormat="1" applyFont="1" applyFill="1" applyBorder="1" applyAlignment="1">
      <alignment horizontal="center" vertical="center" wrapText="1"/>
    </xf>
    <xf numFmtId="10" fontId="19" fillId="0" borderId="85" xfId="2" applyNumberFormat="1" applyFont="1" applyFill="1" applyBorder="1" applyAlignment="1">
      <alignment horizontal="center" vertical="center" wrapText="1"/>
    </xf>
    <xf numFmtId="10" fontId="20" fillId="11" borderId="85" xfId="2" applyNumberFormat="1" applyFont="1" applyFill="1" applyBorder="1" applyAlignment="1">
      <alignment horizontal="center" vertical="center" wrapText="1"/>
    </xf>
    <xf numFmtId="10" fontId="20" fillId="10" borderId="85" xfId="2" applyNumberFormat="1" applyFont="1" applyFill="1" applyBorder="1" applyAlignment="1">
      <alignment horizontal="center" vertical="center" wrapText="1"/>
    </xf>
    <xf numFmtId="10" fontId="11" fillId="0" borderId="85" xfId="2" applyNumberFormat="1" applyFont="1" applyFill="1" applyBorder="1" applyAlignment="1">
      <alignment horizontal="center" vertical="center" wrapText="1"/>
    </xf>
    <xf numFmtId="10" fontId="7" fillId="5" borderId="85" xfId="2" applyNumberFormat="1" applyFont="1" applyFill="1" applyBorder="1" applyAlignment="1">
      <alignment horizontal="center" vertical="center" wrapText="1"/>
    </xf>
    <xf numFmtId="10" fontId="20" fillId="5" borderId="85" xfId="2" applyNumberFormat="1" applyFont="1" applyFill="1" applyBorder="1" applyAlignment="1">
      <alignment horizontal="center" vertical="center" wrapText="1"/>
    </xf>
    <xf numFmtId="10" fontId="7" fillId="10" borderId="85" xfId="2" applyNumberFormat="1" applyFont="1" applyFill="1" applyBorder="1" applyAlignment="1">
      <alignment horizontal="center" vertical="center" wrapText="1"/>
    </xf>
    <xf numFmtId="10" fontId="20" fillId="10" borderId="86" xfId="2" applyNumberFormat="1" applyFont="1" applyFill="1" applyBorder="1" applyAlignment="1">
      <alignment horizontal="center" vertical="center" wrapText="1"/>
    </xf>
    <xf numFmtId="172" fontId="7" fillId="10" borderId="81" xfId="1" applyNumberFormat="1" applyFont="1" applyFill="1" applyBorder="1" applyAlignment="1">
      <alignment vertical="center" wrapText="1"/>
    </xf>
    <xf numFmtId="0" fontId="19" fillId="11" borderId="11" xfId="0" applyFont="1" applyFill="1" applyBorder="1" applyAlignment="1">
      <alignment horizontal="justify" vertical="top" wrapText="1"/>
    </xf>
    <xf numFmtId="172" fontId="7" fillId="11" borderId="1" xfId="1" applyNumberFormat="1" applyFont="1" applyFill="1" applyBorder="1" applyAlignment="1">
      <alignment vertical="center" wrapText="1"/>
    </xf>
    <xf numFmtId="172" fontId="7" fillId="11" borderId="40" xfId="1" applyNumberFormat="1" applyFont="1" applyFill="1" applyBorder="1" applyAlignment="1">
      <alignment vertical="center" wrapText="1"/>
    </xf>
    <xf numFmtId="10" fontId="20" fillId="11" borderId="6" xfId="2" applyNumberFormat="1" applyFont="1" applyFill="1" applyBorder="1" applyAlignment="1">
      <alignment horizontal="center" vertical="center" wrapText="1"/>
    </xf>
    <xf numFmtId="0" fontId="21" fillId="3" borderId="56" xfId="0" applyFont="1" applyFill="1" applyBorder="1" applyAlignment="1">
      <alignment horizontal="left" vertical="center" wrapText="1"/>
    </xf>
    <xf numFmtId="182" fontId="11" fillId="3" borderId="55" xfId="6" applyNumberFormat="1" applyFont="1" applyFill="1" applyBorder="1" applyAlignment="1">
      <alignment horizontal="center" vertical="center"/>
    </xf>
    <xf numFmtId="3" fontId="19" fillId="3" borderId="55" xfId="0" applyNumberFormat="1" applyFont="1" applyFill="1" applyBorder="1" applyAlignment="1">
      <alignment horizontal="center" vertical="center"/>
    </xf>
    <xf numFmtId="0" fontId="19" fillId="3" borderId="94" xfId="0" applyFont="1" applyFill="1" applyBorder="1" applyAlignment="1">
      <alignment horizontal="center" vertical="center"/>
    </xf>
    <xf numFmtId="0" fontId="20" fillId="11" borderId="10" xfId="0" applyFont="1" applyFill="1" applyBorder="1" applyAlignment="1">
      <alignment horizontal="center" vertical="center"/>
    </xf>
    <xf numFmtId="42" fontId="7" fillId="11" borderId="41" xfId="36" applyFont="1" applyFill="1" applyBorder="1" applyAlignment="1">
      <alignment horizontal="center" vertical="center"/>
    </xf>
    <xf numFmtId="49" fontId="20" fillId="11" borderId="11" xfId="25" applyNumberFormat="1" applyFont="1" applyFill="1" applyBorder="1" applyAlignment="1">
      <alignment horizontal="justify" vertical="center" wrapText="1"/>
    </xf>
    <xf numFmtId="176" fontId="2" fillId="0" borderId="0" xfId="0" applyNumberFormat="1" applyFont="1"/>
    <xf numFmtId="176" fontId="3" fillId="0" borderId="84" xfId="0" applyNumberFormat="1" applyFont="1" applyFill="1" applyBorder="1" applyAlignment="1" applyProtection="1">
      <alignment horizontal="right"/>
    </xf>
    <xf numFmtId="176" fontId="3" fillId="0" borderId="79" xfId="0" applyNumberFormat="1" applyFont="1" applyFill="1" applyBorder="1" applyAlignment="1" applyProtection="1">
      <alignment horizontal="right"/>
    </xf>
    <xf numFmtId="176" fontId="3" fillId="0" borderId="80" xfId="0" applyNumberFormat="1" applyFont="1" applyFill="1" applyBorder="1" applyAlignment="1" applyProtection="1">
      <alignment horizontal="right"/>
    </xf>
    <xf numFmtId="14" fontId="3" fillId="0" borderId="34" xfId="0" applyNumberFormat="1" applyFont="1" applyFill="1" applyBorder="1" applyAlignment="1" applyProtection="1">
      <alignment horizontal="right"/>
    </xf>
    <xf numFmtId="1" fontId="10" fillId="3" borderId="45" xfId="0" applyNumberFormat="1" applyFont="1" applyFill="1" applyBorder="1" applyAlignment="1">
      <alignment horizontal="center"/>
    </xf>
    <xf numFmtId="14" fontId="3" fillId="0" borderId="4" xfId="0" applyNumberFormat="1" applyFont="1" applyFill="1" applyBorder="1" applyAlignment="1" applyProtection="1">
      <alignment horizontal="right"/>
    </xf>
    <xf numFmtId="1" fontId="10" fillId="3" borderId="12" xfId="0" applyNumberFormat="1" applyFont="1" applyFill="1" applyBorder="1" applyAlignment="1">
      <alignment horizontal="center"/>
    </xf>
    <xf numFmtId="1" fontId="10" fillId="0" borderId="12" xfId="0" applyNumberFormat="1" applyFont="1" applyFill="1" applyBorder="1" applyAlignment="1">
      <alignment horizontal="center"/>
    </xf>
    <xf numFmtId="14" fontId="3" fillId="0" borderId="36" xfId="0" applyNumberFormat="1" applyFont="1" applyFill="1" applyBorder="1" applyAlignment="1" applyProtection="1">
      <alignment horizontal="right"/>
    </xf>
    <xf numFmtId="1" fontId="10" fillId="0" borderId="42" xfId="0" applyNumberFormat="1" applyFont="1" applyFill="1" applyBorder="1" applyAlignment="1">
      <alignment horizontal="center"/>
    </xf>
    <xf numFmtId="176" fontId="3" fillId="0" borderId="45" xfId="17" applyNumberFormat="1" applyFont="1" applyFill="1" applyBorder="1" applyAlignment="1" applyProtection="1">
      <alignment horizontal="right"/>
    </xf>
    <xf numFmtId="0" fontId="3" fillId="0" borderId="86" xfId="0" applyFont="1" applyFill="1" applyBorder="1"/>
    <xf numFmtId="1" fontId="10" fillId="0" borderId="88" xfId="0" applyNumberFormat="1" applyFont="1" applyFill="1" applyBorder="1" applyAlignment="1">
      <alignment horizontal="center"/>
    </xf>
    <xf numFmtId="166" fontId="0" fillId="0" borderId="0" xfId="0" applyNumberFormat="1"/>
    <xf numFmtId="14" fontId="3" fillId="0" borderId="97" xfId="0" applyNumberFormat="1" applyFont="1" applyFill="1" applyBorder="1" applyAlignment="1" applyProtection="1">
      <alignment horizontal="right"/>
    </xf>
    <xf numFmtId="0" fontId="3" fillId="0" borderId="46" xfId="0" applyFont="1" applyFill="1" applyBorder="1"/>
    <xf numFmtId="3" fontId="3" fillId="0" borderId="46" xfId="0" applyNumberFormat="1" applyFont="1" applyFill="1" applyBorder="1" applyAlignment="1" applyProtection="1">
      <alignment horizontal="left"/>
    </xf>
    <xf numFmtId="3" fontId="3" fillId="0" borderId="16" xfId="0" applyNumberFormat="1" applyFont="1" applyFill="1" applyBorder="1" applyAlignment="1" applyProtection="1">
      <alignment horizontal="left"/>
    </xf>
    <xf numFmtId="3" fontId="3" fillId="0" borderId="17" xfId="0" applyNumberFormat="1" applyFont="1" applyFill="1" applyBorder="1" applyAlignment="1" applyProtection="1">
      <alignment horizontal="left"/>
    </xf>
    <xf numFmtId="0" fontId="19" fillId="0" borderId="0" xfId="0" applyFont="1"/>
    <xf numFmtId="0" fontId="19" fillId="0" borderId="4" xfId="0" applyFont="1" applyFill="1" applyBorder="1" applyAlignment="1">
      <alignment vertical="center" wrapText="1"/>
    </xf>
    <xf numFmtId="176" fontId="19" fillId="0" borderId="0" xfId="44" applyNumberFormat="1" applyFont="1"/>
    <xf numFmtId="172" fontId="11" fillId="0" borderId="4" xfId="1" applyNumberFormat="1" applyFont="1" applyFill="1" applyBorder="1" applyAlignment="1">
      <alignment horizontal="justify" vertical="center" wrapText="1"/>
    </xf>
    <xf numFmtId="172" fontId="11" fillId="0" borderId="58" xfId="25" applyNumberFormat="1"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9" fillId="0" borderId="0" xfId="44" applyNumberFormat="1" applyFont="1"/>
    <xf numFmtId="10" fontId="19" fillId="0" borderId="0" xfId="2" applyNumberFormat="1" applyFont="1"/>
    <xf numFmtId="0" fontId="19" fillId="0" borderId="58" xfId="0" applyFont="1" applyFill="1" applyBorder="1" applyAlignment="1">
      <alignment horizontal="center" vertical="center"/>
    </xf>
    <xf numFmtId="172" fontId="19" fillId="0" borderId="58" xfId="1" applyNumberFormat="1" applyFont="1" applyFill="1" applyBorder="1" applyAlignment="1">
      <alignment horizontal="left" vertical="center" wrapText="1"/>
    </xf>
    <xf numFmtId="169" fontId="19" fillId="0" borderId="85" xfId="2" applyNumberFormat="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172" fontId="11" fillId="0" borderId="58" xfId="25" applyNumberFormat="1" applyFont="1" applyFill="1" applyBorder="1" applyAlignment="1">
      <alignment horizontal="justify" vertical="center" wrapText="1"/>
    </xf>
    <xf numFmtId="0" fontId="19" fillId="0" borderId="0" xfId="0" applyFont="1" applyFill="1" applyAlignment="1">
      <alignment horizontal="justify" vertical="center" wrapText="1"/>
    </xf>
    <xf numFmtId="0" fontId="19" fillId="0" borderId="16" xfId="0" applyFont="1" applyFill="1" applyBorder="1" applyAlignment="1">
      <alignment horizontal="justify" vertical="center" wrapText="1"/>
    </xf>
    <xf numFmtId="0" fontId="0" fillId="0" borderId="0" xfId="0"/>
    <xf numFmtId="0" fontId="19" fillId="0" borderId="0" xfId="0" applyFont="1" applyFill="1" applyAlignment="1">
      <alignment horizontal="justify" vertical="center" wrapText="1"/>
    </xf>
    <xf numFmtId="0" fontId="19" fillId="0" borderId="4" xfId="0" applyFont="1" applyFill="1" applyBorder="1" applyAlignment="1">
      <alignment horizontal="left" vertical="center" wrapText="1"/>
    </xf>
    <xf numFmtId="3" fontId="19" fillId="0" borderId="3" xfId="0" applyNumberFormat="1" applyFont="1" applyFill="1" applyBorder="1" applyAlignment="1">
      <alignment horizontal="center" vertical="center" wrapText="1"/>
    </xf>
    <xf numFmtId="176" fontId="19" fillId="0" borderId="0" xfId="0" applyNumberFormat="1" applyFont="1" applyFill="1" applyAlignment="1">
      <alignment horizontal="justify" vertical="center" wrapText="1"/>
    </xf>
    <xf numFmtId="172" fontId="11" fillId="0" borderId="4" xfId="1" applyNumberFormat="1" applyFont="1" applyFill="1" applyBorder="1" applyAlignment="1">
      <alignment horizontal="justify" vertical="center" wrapText="1"/>
    </xf>
    <xf numFmtId="172" fontId="11" fillId="0" borderId="58" xfId="25" applyNumberFormat="1"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58" xfId="0" applyFont="1" applyFill="1" applyBorder="1" applyAlignment="1">
      <alignment horizontal="center" vertical="center"/>
    </xf>
    <xf numFmtId="169" fontId="19" fillId="0" borderId="85" xfId="2" applyNumberFormat="1" applyFont="1" applyFill="1" applyBorder="1" applyAlignment="1">
      <alignment horizontal="center" vertical="center" wrapText="1"/>
    </xf>
    <xf numFmtId="0" fontId="0" fillId="0" borderId="0" xfId="0"/>
    <xf numFmtId="0" fontId="19" fillId="0" borderId="4" xfId="0" applyFont="1" applyFill="1" applyBorder="1" applyAlignment="1">
      <alignment horizontal="left" vertical="center" wrapText="1"/>
    </xf>
    <xf numFmtId="3" fontId="19" fillId="0" borderId="3" xfId="0" applyNumberFormat="1" applyFont="1" applyFill="1" applyBorder="1" applyAlignment="1">
      <alignment horizontal="center" vertical="center" wrapText="1"/>
    </xf>
    <xf numFmtId="172" fontId="11" fillId="0" borderId="3" xfId="1" applyNumberFormat="1" applyFont="1" applyFill="1" applyBorder="1" applyAlignment="1">
      <alignment horizontal="justify" vertical="center" wrapText="1"/>
    </xf>
    <xf numFmtId="176" fontId="19" fillId="0" borderId="0" xfId="0" applyNumberFormat="1" applyFont="1" applyFill="1" applyAlignment="1">
      <alignment horizontal="justify" vertical="center" wrapText="1"/>
    </xf>
    <xf numFmtId="172" fontId="11" fillId="0" borderId="4" xfId="1" applyNumberFormat="1" applyFont="1" applyFill="1" applyBorder="1" applyAlignment="1">
      <alignment horizontal="justify" vertical="center" wrapText="1"/>
    </xf>
    <xf numFmtId="172" fontId="11" fillId="0" borderId="58" xfId="25" applyNumberFormat="1"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58" xfId="0" applyFont="1" applyFill="1" applyBorder="1" applyAlignment="1">
      <alignment horizontal="center" vertical="center"/>
    </xf>
    <xf numFmtId="169" fontId="19" fillId="0" borderId="85" xfId="2" applyNumberFormat="1" applyFont="1" applyFill="1" applyBorder="1" applyAlignment="1">
      <alignment horizontal="center" vertical="center" wrapText="1"/>
    </xf>
    <xf numFmtId="0" fontId="19" fillId="0" borderId="0" xfId="0" applyFont="1"/>
    <xf numFmtId="172" fontId="19" fillId="0" borderId="3" xfId="1" applyNumberFormat="1" applyFont="1" applyFill="1" applyBorder="1" applyAlignment="1">
      <alignment horizontal="justify" vertical="center" wrapText="1"/>
    </xf>
    <xf numFmtId="0" fontId="19" fillId="0" borderId="4" xfId="0" applyFont="1" applyFill="1" applyBorder="1" applyAlignment="1">
      <alignment vertical="center" wrapText="1"/>
    </xf>
    <xf numFmtId="172" fontId="19" fillId="0" borderId="3" xfId="1" applyNumberFormat="1" applyFont="1" applyFill="1" applyBorder="1" applyAlignment="1">
      <alignment horizontal="left" vertical="center" wrapText="1"/>
    </xf>
    <xf numFmtId="3" fontId="19" fillId="0" borderId="3" xfId="0" applyNumberFormat="1" applyFont="1" applyFill="1" applyBorder="1" applyAlignment="1">
      <alignment horizontal="center" vertical="center" wrapText="1"/>
    </xf>
    <xf numFmtId="172" fontId="11" fillId="0" borderId="3" xfId="1" applyNumberFormat="1" applyFont="1" applyFill="1" applyBorder="1" applyAlignment="1">
      <alignment horizontal="justify" vertical="center" wrapText="1"/>
    </xf>
    <xf numFmtId="3" fontId="11" fillId="0" borderId="3" xfId="0" applyNumberFormat="1" applyFont="1" applyFill="1" applyBorder="1" applyAlignment="1">
      <alignment horizontal="center" vertical="center" wrapText="1"/>
    </xf>
    <xf numFmtId="172" fontId="11" fillId="0" borderId="4" xfId="1" applyNumberFormat="1" applyFont="1" applyFill="1" applyBorder="1" applyAlignment="1">
      <alignment horizontal="justify" vertical="center" wrapText="1"/>
    </xf>
    <xf numFmtId="0" fontId="19" fillId="0" borderId="16" xfId="0" applyFont="1" applyFill="1" applyBorder="1" applyAlignment="1">
      <alignment horizontal="justify" vertical="center" wrapText="1"/>
    </xf>
    <xf numFmtId="0" fontId="19" fillId="0" borderId="3" xfId="0" applyFont="1" applyFill="1" applyBorder="1" applyAlignment="1">
      <alignment horizontal="center" vertical="center" wrapText="1"/>
    </xf>
    <xf numFmtId="10" fontId="19" fillId="0" borderId="0" xfId="2" applyNumberFormat="1" applyFont="1"/>
    <xf numFmtId="0" fontId="0" fillId="0" borderId="0" xfId="0"/>
    <xf numFmtId="0" fontId="7" fillId="10" borderId="4" xfId="6" applyFont="1" applyFill="1" applyBorder="1" applyAlignment="1">
      <alignment horizontal="left" vertical="center"/>
    </xf>
    <xf numFmtId="0" fontId="20" fillId="10" borderId="58" xfId="0" applyFont="1" applyFill="1" applyBorder="1" applyAlignment="1">
      <alignment horizontal="center" vertical="center"/>
    </xf>
    <xf numFmtId="49" fontId="19" fillId="10" borderId="79" xfId="1" applyNumberFormat="1" applyFont="1" applyFill="1" applyBorder="1" applyAlignment="1">
      <alignment horizontal="justify" vertical="center"/>
    </xf>
    <xf numFmtId="3" fontId="19" fillId="0" borderId="0" xfId="0" applyNumberFormat="1" applyFont="1" applyAlignment="1">
      <alignment vertical="center"/>
    </xf>
    <xf numFmtId="182" fontId="7" fillId="10" borderId="3" xfId="6" applyNumberFormat="1" applyFont="1" applyFill="1" applyBorder="1" applyAlignment="1">
      <alignment horizontal="right" vertical="center"/>
    </xf>
    <xf numFmtId="3" fontId="20" fillId="10" borderId="3" xfId="0" applyNumberFormat="1" applyFont="1" applyFill="1" applyBorder="1" applyAlignment="1">
      <alignment horizontal="center" vertical="center"/>
    </xf>
    <xf numFmtId="175" fontId="7" fillId="10" borderId="4" xfId="1" applyNumberFormat="1" applyFont="1" applyFill="1" applyBorder="1" applyAlignment="1">
      <alignment horizontal="right" vertical="center"/>
    </xf>
    <xf numFmtId="175" fontId="7" fillId="10" borderId="12" xfId="1" applyNumberFormat="1" applyFont="1" applyFill="1" applyBorder="1" applyAlignment="1">
      <alignment horizontal="right" vertical="center"/>
    </xf>
    <xf numFmtId="10" fontId="7" fillId="10" borderId="79" xfId="2" applyNumberFormat="1" applyFont="1" applyFill="1" applyBorder="1" applyAlignment="1">
      <alignment horizontal="center" vertical="center"/>
    </xf>
    <xf numFmtId="172" fontId="0" fillId="0" borderId="0" xfId="0" applyNumberFormat="1" applyAlignment="1">
      <alignment vertical="center"/>
    </xf>
    <xf numFmtId="3" fontId="0" fillId="0" borderId="0" xfId="0" applyNumberFormat="1"/>
    <xf numFmtId="42" fontId="20" fillId="12" borderId="58" xfId="36" applyFont="1" applyFill="1" applyBorder="1" applyAlignment="1">
      <alignment horizontal="center" vertical="center"/>
    </xf>
    <xf numFmtId="42" fontId="11" fillId="0" borderId="58" xfId="36" applyFont="1" applyFill="1" applyBorder="1" applyAlignment="1">
      <alignment horizontal="center" vertical="center"/>
    </xf>
    <xf numFmtId="10" fontId="20" fillId="11" borderId="16" xfId="2" applyNumberFormat="1" applyFont="1" applyFill="1" applyBorder="1" applyAlignment="1">
      <alignment horizontal="center" vertical="center"/>
    </xf>
    <xf numFmtId="10" fontId="19" fillId="0" borderId="105" xfId="2" applyNumberFormat="1" applyFont="1" applyFill="1" applyBorder="1" applyAlignment="1">
      <alignment horizontal="center" vertical="center"/>
    </xf>
    <xf numFmtId="10" fontId="20" fillId="10" borderId="16" xfId="2" applyNumberFormat="1" applyFont="1" applyFill="1" applyBorder="1" applyAlignment="1">
      <alignment horizontal="center" vertical="center" wrapText="1"/>
    </xf>
    <xf numFmtId="165" fontId="11" fillId="0" borderId="0" xfId="17" applyFont="1" applyFill="1" applyAlignment="1">
      <alignment horizontal="center" vertical="center" wrapText="1"/>
    </xf>
    <xf numFmtId="42" fontId="7" fillId="11" borderId="78" xfId="36" applyFont="1" applyFill="1" applyBorder="1" applyAlignment="1">
      <alignment horizontal="center" vertical="center" wrapText="1"/>
    </xf>
    <xf numFmtId="42" fontId="11" fillId="0" borderId="104" xfId="36" applyFont="1" applyFill="1" applyBorder="1" applyAlignment="1">
      <alignment horizontal="center" vertical="center"/>
    </xf>
    <xf numFmtId="10" fontId="20" fillId="12" borderId="16" xfId="2" applyNumberFormat="1" applyFont="1" applyFill="1" applyBorder="1" applyAlignment="1">
      <alignment horizontal="center" vertical="center"/>
    </xf>
    <xf numFmtId="172" fontId="7" fillId="11" borderId="40" xfId="25" applyNumberFormat="1" applyFont="1" applyFill="1" applyBorder="1" applyAlignment="1">
      <alignment horizontal="center" vertical="center" wrapText="1"/>
    </xf>
    <xf numFmtId="10" fontId="20" fillId="11" borderId="15" xfId="2" applyNumberFormat="1" applyFont="1" applyFill="1" applyBorder="1" applyAlignment="1">
      <alignment horizontal="center" vertical="center" wrapText="1"/>
    </xf>
    <xf numFmtId="42" fontId="7" fillId="10" borderId="73" xfId="36" applyFont="1" applyFill="1" applyBorder="1" applyAlignment="1">
      <alignment horizontal="center" vertical="center"/>
    </xf>
    <xf numFmtId="42" fontId="11" fillId="3" borderId="58" xfId="36" applyFont="1" applyFill="1" applyBorder="1" applyAlignment="1">
      <alignment horizontal="center" vertical="center" wrapText="1"/>
    </xf>
    <xf numFmtId="10" fontId="20" fillId="10" borderId="16" xfId="2" applyNumberFormat="1" applyFont="1" applyFill="1" applyBorder="1" applyAlignment="1">
      <alignment horizontal="center" vertical="center"/>
    </xf>
    <xf numFmtId="42" fontId="19" fillId="0" borderId="58" xfId="36" applyFont="1" applyFill="1" applyBorder="1" applyAlignment="1">
      <alignment horizontal="center" vertical="center"/>
    </xf>
    <xf numFmtId="10" fontId="19" fillId="0" borderId="16" xfId="2" applyNumberFormat="1" applyFont="1" applyFill="1" applyBorder="1" applyAlignment="1">
      <alignment horizontal="center" vertical="center"/>
    </xf>
    <xf numFmtId="10" fontId="11" fillId="3" borderId="16" xfId="2" applyNumberFormat="1" applyFont="1" applyFill="1" applyBorder="1" applyAlignment="1">
      <alignment horizontal="center" vertical="center" wrapText="1"/>
    </xf>
    <xf numFmtId="42" fontId="7" fillId="12" borderId="58" xfId="36" applyFont="1" applyFill="1" applyBorder="1" applyAlignment="1">
      <alignment horizontal="center" vertical="center"/>
    </xf>
    <xf numFmtId="42" fontId="7" fillId="11" borderId="40" xfId="36" applyFont="1" applyFill="1" applyBorder="1" applyAlignment="1">
      <alignment horizontal="center" vertical="center"/>
    </xf>
    <xf numFmtId="10" fontId="11" fillId="3" borderId="16" xfId="2" applyNumberFormat="1" applyFont="1" applyFill="1" applyBorder="1" applyAlignment="1">
      <alignment horizontal="center" vertical="center"/>
    </xf>
    <xf numFmtId="0" fontId="19" fillId="0" borderId="0" xfId="0" applyFont="1" applyFill="1" applyBorder="1" applyAlignment="1">
      <alignment horizontal="justify" vertical="center" wrapText="1"/>
    </xf>
    <xf numFmtId="0" fontId="19" fillId="3" borderId="12" xfId="0" applyFont="1" applyFill="1" applyBorder="1" applyAlignment="1">
      <alignment horizontal="center" vertical="center" wrapText="1"/>
    </xf>
    <xf numFmtId="42" fontId="11" fillId="0" borderId="58" xfId="36" applyFont="1" applyFill="1" applyBorder="1" applyAlignment="1">
      <alignment horizontal="center" vertical="center" wrapText="1"/>
    </xf>
    <xf numFmtId="10" fontId="19" fillId="0" borderId="16" xfId="2" applyNumberFormat="1" applyFont="1" applyFill="1" applyBorder="1" applyAlignment="1">
      <alignment horizontal="center" vertical="center" wrapText="1"/>
    </xf>
    <xf numFmtId="10" fontId="19" fillId="3" borderId="16" xfId="2" applyNumberFormat="1" applyFont="1" applyFill="1" applyBorder="1" applyAlignment="1">
      <alignment horizontal="center" vertical="center" wrapText="1"/>
    </xf>
    <xf numFmtId="42" fontId="7" fillId="10" borderId="58" xfId="36" applyFont="1" applyFill="1" applyBorder="1" applyAlignment="1">
      <alignment horizontal="center" vertical="center" wrapText="1"/>
    </xf>
    <xf numFmtId="42" fontId="20" fillId="10" borderId="58" xfId="36" applyFont="1" applyFill="1" applyBorder="1" applyAlignment="1">
      <alignment horizontal="center" vertical="center"/>
    </xf>
    <xf numFmtId="42" fontId="7" fillId="12" borderId="58" xfId="36" applyFont="1" applyFill="1" applyBorder="1" applyAlignment="1">
      <alignment horizontal="center" vertical="center" wrapText="1"/>
    </xf>
    <xf numFmtId="10" fontId="19" fillId="3" borderId="16" xfId="2" applyNumberFormat="1" applyFont="1" applyFill="1" applyBorder="1" applyAlignment="1">
      <alignment horizontal="center" vertical="center"/>
    </xf>
    <xf numFmtId="169" fontId="19" fillId="3" borderId="16" xfId="2" applyNumberFormat="1" applyFont="1" applyFill="1" applyBorder="1" applyAlignment="1">
      <alignment horizontal="center" vertical="center" wrapText="1"/>
    </xf>
    <xf numFmtId="0" fontId="0" fillId="0" borderId="0" xfId="0"/>
    <xf numFmtId="0" fontId="21" fillId="3" borderId="4" xfId="0" applyFont="1" applyFill="1" applyBorder="1" applyAlignment="1">
      <alignment horizontal="left" vertical="center" wrapText="1"/>
    </xf>
    <xf numFmtId="3" fontId="19" fillId="3" borderId="3" xfId="0" applyNumberFormat="1" applyFont="1" applyFill="1" applyBorder="1" applyAlignment="1">
      <alignment horizontal="center" vertical="center"/>
    </xf>
    <xf numFmtId="3" fontId="19" fillId="0" borderId="0" xfId="0" applyNumberFormat="1" applyFont="1" applyFill="1" applyBorder="1" applyAlignment="1">
      <alignment horizontal="justify" vertical="center" wrapText="1"/>
    </xf>
    <xf numFmtId="10" fontId="19" fillId="0" borderId="0" xfId="2" applyNumberFormat="1" applyFont="1" applyFill="1" applyBorder="1" applyAlignment="1">
      <alignment horizontal="justify" vertical="center" wrapText="1"/>
    </xf>
    <xf numFmtId="182" fontId="19" fillId="3" borderId="3" xfId="25" applyNumberFormat="1" applyFont="1" applyFill="1" applyBorder="1" applyAlignment="1">
      <alignment horizontal="center" vertical="center" wrapText="1"/>
    </xf>
    <xf numFmtId="0" fontId="19" fillId="3" borderId="12" xfId="0" applyFont="1" applyFill="1" applyBorder="1" applyAlignment="1">
      <alignment horizontal="center" vertical="center" wrapText="1"/>
    </xf>
    <xf numFmtId="10" fontId="20" fillId="11" borderId="6" xfId="2" applyNumberFormat="1" applyFont="1" applyFill="1" applyBorder="1" applyAlignment="1">
      <alignment horizontal="center" vertical="center"/>
    </xf>
    <xf numFmtId="0" fontId="0" fillId="0" borderId="0" xfId="0"/>
    <xf numFmtId="0" fontId="19" fillId="0" borderId="0" xfId="0" applyFont="1" applyFill="1" applyAlignment="1">
      <alignment horizontal="justify" vertical="center" wrapText="1"/>
    </xf>
    <xf numFmtId="0" fontId="19" fillId="0" borderId="58" xfId="0" applyFont="1" applyFill="1" applyBorder="1" applyAlignment="1">
      <alignment horizontal="center" vertical="center" wrapText="1"/>
    </xf>
    <xf numFmtId="0" fontId="7" fillId="10" borderId="4" xfId="6" applyFont="1" applyFill="1" applyBorder="1" applyAlignment="1">
      <alignment horizontal="left" vertical="center"/>
    </xf>
    <xf numFmtId="0" fontId="19" fillId="0" borderId="4" xfId="0" applyFont="1" applyFill="1" applyBorder="1" applyAlignment="1">
      <alignment horizontal="left" vertical="center" wrapText="1"/>
    </xf>
    <xf numFmtId="0" fontId="19" fillId="0" borderId="4" xfId="0" applyFont="1" applyFill="1" applyBorder="1" applyAlignment="1">
      <alignment vertical="center" wrapText="1"/>
    </xf>
    <xf numFmtId="172" fontId="19" fillId="0" borderId="3" xfId="1" applyNumberFormat="1" applyFont="1" applyFill="1" applyBorder="1" applyAlignment="1">
      <alignment horizontal="left" vertical="center" wrapText="1"/>
    </xf>
    <xf numFmtId="3" fontId="20" fillId="10" borderId="3" xfId="0" applyNumberFormat="1" applyFont="1" applyFill="1" applyBorder="1" applyAlignment="1">
      <alignment horizontal="center" vertical="center" wrapText="1"/>
    </xf>
    <xf numFmtId="0" fontId="20" fillId="10" borderId="58" xfId="0"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172" fontId="11" fillId="0" borderId="3" xfId="1" applyNumberFormat="1" applyFont="1" applyFill="1" applyBorder="1" applyAlignment="1">
      <alignment horizontal="justify" vertical="center" wrapText="1"/>
    </xf>
    <xf numFmtId="172" fontId="11" fillId="0" borderId="4" xfId="1" applyNumberFormat="1" applyFont="1" applyFill="1" applyBorder="1" applyAlignment="1">
      <alignment horizontal="justify" vertical="center" wrapText="1"/>
    </xf>
    <xf numFmtId="176" fontId="19" fillId="0" borderId="0" xfId="0" applyNumberFormat="1" applyFont="1" applyFill="1" applyAlignment="1">
      <alignment horizontal="justify" vertical="center" wrapText="1"/>
    </xf>
    <xf numFmtId="3" fontId="11" fillId="0" borderId="3" xfId="0" applyNumberFormat="1" applyFont="1" applyFill="1" applyBorder="1" applyAlignment="1">
      <alignment horizontal="center" vertical="center" wrapText="1"/>
    </xf>
    <xf numFmtId="0" fontId="11" fillId="0" borderId="58" xfId="0" applyFont="1" applyFill="1" applyBorder="1" applyAlignment="1">
      <alignment horizontal="center" vertical="center" wrapText="1"/>
    </xf>
    <xf numFmtId="0" fontId="19" fillId="0" borderId="0" xfId="0" applyFont="1" applyFill="1" applyAlignment="1">
      <alignment horizontal="center" vertical="center" wrapText="1"/>
    </xf>
    <xf numFmtId="0" fontId="11" fillId="0" borderId="4" xfId="0" applyFont="1" applyBorder="1" applyAlignment="1">
      <alignment horizontal="left" vertical="center" wrapText="1"/>
    </xf>
    <xf numFmtId="0" fontId="7" fillId="10" borderId="4" xfId="6" applyFont="1" applyFill="1" applyBorder="1" applyAlignment="1">
      <alignment horizontal="left" vertical="center" wrapText="1"/>
    </xf>
    <xf numFmtId="172" fontId="7" fillId="10" borderId="3" xfId="1" applyNumberFormat="1" applyFont="1" applyFill="1" applyBorder="1" applyAlignment="1">
      <alignment horizontal="right" vertical="center" wrapText="1"/>
    </xf>
    <xf numFmtId="172" fontId="7" fillId="10" borderId="4" xfId="1" applyNumberFormat="1" applyFont="1" applyFill="1" applyBorder="1" applyAlignment="1">
      <alignment vertical="center" wrapText="1"/>
    </xf>
    <xf numFmtId="0" fontId="27" fillId="0" borderId="0" xfId="0" applyFont="1" applyFill="1" applyAlignment="1">
      <alignment horizontal="justify" vertical="center" wrapText="1"/>
    </xf>
    <xf numFmtId="176" fontId="11" fillId="0" borderId="0" xfId="0" applyNumberFormat="1" applyFont="1" applyFill="1" applyAlignment="1">
      <alignment horizontal="justify" vertical="center" wrapText="1"/>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0" fontId="7" fillId="5" borderId="4" xfId="6" applyFont="1" applyFill="1" applyBorder="1" applyAlignment="1">
      <alignment horizontal="left" vertical="center" wrapText="1"/>
    </xf>
    <xf numFmtId="172" fontId="7" fillId="5" borderId="3" xfId="1" applyNumberFormat="1" applyFont="1" applyFill="1" applyBorder="1" applyAlignment="1">
      <alignment horizontal="right" vertical="center" wrapText="1"/>
    </xf>
    <xf numFmtId="3" fontId="7" fillId="5" borderId="3" xfId="0" applyNumberFormat="1" applyFont="1" applyFill="1" applyBorder="1" applyAlignment="1">
      <alignment horizontal="center" vertical="center" wrapText="1"/>
    </xf>
    <xf numFmtId="0" fontId="7" fillId="5" borderId="58" xfId="0" applyFont="1" applyFill="1" applyBorder="1" applyAlignment="1">
      <alignment horizontal="center" vertical="center" wrapText="1"/>
    </xf>
    <xf numFmtId="172" fontId="7" fillId="5" borderId="4" xfId="1" applyNumberFormat="1" applyFont="1" applyFill="1" applyBorder="1" applyAlignment="1">
      <alignment vertical="center" wrapText="1"/>
    </xf>
    <xf numFmtId="0" fontId="11" fillId="0" borderId="0" xfId="0" applyNumberFormat="1" applyFont="1" applyFill="1" applyAlignment="1">
      <alignment horizontal="center" vertical="center" wrapText="1"/>
    </xf>
    <xf numFmtId="176" fontId="27" fillId="0" borderId="0" xfId="0" applyNumberFormat="1" applyFont="1" applyFill="1" applyAlignment="1">
      <alignment horizontal="justify" vertical="center" wrapText="1"/>
    </xf>
    <xf numFmtId="3" fontId="20" fillId="10" borderId="3" xfId="0" applyNumberFormat="1" applyFont="1" applyFill="1" applyBorder="1" applyAlignment="1">
      <alignment horizontal="center" vertical="center"/>
    </xf>
    <xf numFmtId="0" fontId="19" fillId="0" borderId="0" xfId="0" applyFont="1" applyFill="1" applyBorder="1" applyAlignment="1">
      <alignment horizontal="justify" vertical="center" wrapText="1"/>
    </xf>
    <xf numFmtId="0" fontId="7" fillId="12" borderId="4" xfId="6" applyFont="1" applyFill="1" applyBorder="1" applyAlignment="1">
      <alignment horizontal="left" vertical="center"/>
    </xf>
    <xf numFmtId="3" fontId="20" fillId="12" borderId="3" xfId="0" applyNumberFormat="1" applyFont="1" applyFill="1" applyBorder="1" applyAlignment="1">
      <alignment horizontal="center" vertical="center"/>
    </xf>
    <xf numFmtId="3" fontId="19" fillId="0" borderId="0" xfId="0" applyNumberFormat="1" applyFont="1" applyFill="1" applyBorder="1" applyAlignment="1">
      <alignment horizontal="justify" vertical="center" wrapText="1"/>
    </xf>
    <xf numFmtId="10" fontId="19" fillId="0" borderId="0" xfId="2" applyNumberFormat="1" applyFont="1" applyFill="1" applyBorder="1" applyAlignment="1">
      <alignment horizontal="justify" vertical="center" wrapText="1"/>
    </xf>
    <xf numFmtId="41" fontId="19" fillId="0" borderId="0" xfId="35" applyFont="1" applyFill="1" applyBorder="1" applyAlignment="1">
      <alignment horizontal="justify" vertical="center" wrapText="1"/>
    </xf>
    <xf numFmtId="43" fontId="19" fillId="0" borderId="0" xfId="0" applyNumberFormat="1" applyFont="1" applyFill="1" applyBorder="1" applyAlignment="1">
      <alignment horizontal="justify" vertical="center" wrapText="1"/>
    </xf>
    <xf numFmtId="182" fontId="7" fillId="10" borderId="3" xfId="6" applyNumberFormat="1" applyFont="1" applyFill="1" applyBorder="1" applyAlignment="1">
      <alignment horizontal="center" vertical="center"/>
    </xf>
    <xf numFmtId="182" fontId="7" fillId="12" borderId="3" xfId="6" applyNumberFormat="1" applyFont="1" applyFill="1" applyBorder="1" applyAlignment="1">
      <alignment horizontal="center" vertical="center"/>
    </xf>
    <xf numFmtId="182" fontId="19" fillId="0" borderId="3" xfId="25" applyNumberFormat="1" applyFont="1" applyFill="1" applyBorder="1" applyAlignment="1">
      <alignment horizontal="center" vertical="center" wrapText="1"/>
    </xf>
    <xf numFmtId="182" fontId="11" fillId="0" borderId="3" xfId="25" applyNumberFormat="1" applyFont="1" applyFill="1" applyBorder="1" applyAlignment="1">
      <alignment horizontal="center" vertical="center" wrapText="1"/>
    </xf>
    <xf numFmtId="172" fontId="19" fillId="10" borderId="16" xfId="1" applyNumberFormat="1" applyFont="1" applyFill="1" applyBorder="1" applyAlignment="1">
      <alignment horizontal="justify" vertical="top" wrapText="1"/>
    </xf>
    <xf numFmtId="0" fontId="11" fillId="0" borderId="16" xfId="0" applyFont="1" applyFill="1" applyBorder="1" applyAlignment="1">
      <alignment horizontal="justify" vertical="top" wrapText="1"/>
    </xf>
    <xf numFmtId="49" fontId="19" fillId="10" borderId="79" xfId="25" applyNumberFormat="1" applyFont="1" applyFill="1" applyBorder="1" applyAlignment="1">
      <alignment horizontal="justify" vertical="center" wrapText="1"/>
    </xf>
    <xf numFmtId="49" fontId="19" fillId="12" borderId="79" xfId="25" applyNumberFormat="1" applyFont="1" applyFill="1" applyBorder="1" applyAlignment="1">
      <alignment horizontal="justify" vertical="center" wrapText="1"/>
    </xf>
    <xf numFmtId="42" fontId="7" fillId="10" borderId="14" xfId="36" applyFont="1" applyFill="1" applyBorder="1" applyAlignment="1">
      <alignment horizontal="center" vertical="center"/>
    </xf>
    <xf numFmtId="42" fontId="7" fillId="12" borderId="14" xfId="36" applyFont="1" applyFill="1" applyBorder="1" applyAlignment="1">
      <alignment horizontal="center" vertical="center"/>
    </xf>
    <xf numFmtId="42" fontId="11" fillId="0" borderId="14" xfId="36" applyFont="1" applyFill="1" applyBorder="1" applyAlignment="1">
      <alignment horizontal="center" vertical="center" wrapText="1"/>
    </xf>
    <xf numFmtId="42" fontId="11" fillId="0" borderId="14" xfId="36" applyFont="1" applyFill="1" applyBorder="1" applyAlignment="1">
      <alignment horizontal="center" vertical="center"/>
    </xf>
    <xf numFmtId="0" fontId="19" fillId="0" borderId="12" xfId="0" applyFont="1" applyFill="1" applyBorder="1" applyAlignment="1">
      <alignment horizontal="center" vertical="center" wrapText="1"/>
    </xf>
    <xf numFmtId="0" fontId="20" fillId="10" borderId="12" xfId="0" applyFont="1" applyFill="1" applyBorder="1" applyAlignment="1">
      <alignment horizontal="center" vertical="center"/>
    </xf>
    <xf numFmtId="0" fontId="20" fillId="12" borderId="12" xfId="0" applyFont="1" applyFill="1" applyBorder="1" applyAlignment="1">
      <alignment horizontal="center" vertical="center"/>
    </xf>
    <xf numFmtId="0" fontId="11" fillId="0" borderId="12" xfId="0" applyFont="1" applyFill="1" applyBorder="1" applyAlignment="1">
      <alignment horizontal="center" vertical="center" wrapText="1"/>
    </xf>
    <xf numFmtId="42" fontId="7" fillId="11" borderId="58" xfId="36" applyFont="1" applyFill="1" applyBorder="1" applyAlignment="1">
      <alignment horizontal="center" vertical="center"/>
    </xf>
    <xf numFmtId="10" fontId="7" fillId="11" borderId="6" xfId="2" applyNumberFormat="1" applyFont="1" applyFill="1" applyBorder="1" applyAlignment="1">
      <alignment horizontal="center" vertical="center" wrapText="1"/>
    </xf>
    <xf numFmtId="42" fontId="7" fillId="11" borderId="73" xfId="36" applyFont="1" applyFill="1" applyBorder="1" applyAlignment="1">
      <alignment horizontal="center" vertical="center"/>
    </xf>
    <xf numFmtId="42" fontId="7" fillId="10" borderId="58" xfId="36" applyFont="1" applyFill="1" applyBorder="1" applyAlignment="1">
      <alignment horizontal="center" vertical="center"/>
    </xf>
    <xf numFmtId="42" fontId="19" fillId="0" borderId="58" xfId="36" applyFont="1" applyFill="1" applyBorder="1" applyAlignment="1">
      <alignment horizontal="center" vertical="center" wrapText="1"/>
    </xf>
    <xf numFmtId="172" fontId="19" fillId="0" borderId="12" xfId="1" applyNumberFormat="1" applyFont="1" applyFill="1" applyBorder="1" applyAlignment="1">
      <alignment horizontal="justify" vertical="center" wrapText="1"/>
    </xf>
    <xf numFmtId="183" fontId="19" fillId="0" borderId="12" xfId="1" applyNumberFormat="1" applyFont="1" applyFill="1" applyBorder="1" applyAlignment="1">
      <alignment horizontal="right" vertical="center" wrapText="1"/>
    </xf>
    <xf numFmtId="0" fontId="11" fillId="0" borderId="16" xfId="0" applyFont="1" applyFill="1" applyBorder="1" applyAlignment="1">
      <alignment horizontal="justify" vertical="top" wrapText="1"/>
    </xf>
    <xf numFmtId="49" fontId="19" fillId="0" borderId="79" xfId="0" applyNumberFormat="1" applyFont="1" applyFill="1" applyBorder="1" applyAlignment="1">
      <alignment horizontal="justify" vertical="center" wrapText="1"/>
    </xf>
    <xf numFmtId="172" fontId="19" fillId="0" borderId="0" xfId="0" applyNumberFormat="1" applyFont="1" applyFill="1" applyAlignment="1">
      <alignment horizontal="justify" vertical="center" wrapText="1"/>
    </xf>
    <xf numFmtId="176" fontId="6" fillId="0" borderId="22" xfId="17" applyNumberFormat="1" applyFont="1" applyBorder="1" applyAlignment="1">
      <alignment horizontal="center"/>
    </xf>
    <xf numFmtId="0" fontId="19" fillId="0" borderId="0" xfId="0" applyFont="1" applyAlignment="1">
      <alignment horizontal="center" vertical="center" wrapText="1"/>
    </xf>
    <xf numFmtId="175" fontId="19" fillId="0" borderId="70" xfId="26" applyNumberFormat="1" applyFont="1" applyFill="1" applyBorder="1" applyAlignment="1">
      <alignment horizontal="center" vertical="center" wrapText="1"/>
    </xf>
    <xf numFmtId="183" fontId="19" fillId="3" borderId="49" xfId="26" applyNumberFormat="1" applyFont="1" applyFill="1" applyBorder="1" applyAlignment="1">
      <alignment horizontal="justify" vertical="center" wrapText="1"/>
    </xf>
    <xf numFmtId="176" fontId="3" fillId="0" borderId="0" xfId="17" applyNumberFormat="1" applyFont="1" applyAlignment="1">
      <alignment vertical="center"/>
    </xf>
    <xf numFmtId="165" fontId="3" fillId="0" borderId="0" xfId="17" applyFont="1" applyAlignment="1">
      <alignment vertical="center"/>
    </xf>
    <xf numFmtId="0" fontId="3" fillId="0" borderId="0" xfId="14" applyFont="1" applyAlignment="1">
      <alignment vertical="center"/>
    </xf>
    <xf numFmtId="0" fontId="3" fillId="0" borderId="0" xfId="14" applyFont="1"/>
    <xf numFmtId="0" fontId="21" fillId="0" borderId="56" xfId="0" applyFont="1" applyBorder="1" applyAlignment="1">
      <alignment vertical="center"/>
    </xf>
    <xf numFmtId="182" fontId="19" fillId="0" borderId="55" xfId="1" applyNumberFormat="1" applyFont="1" applyFill="1" applyBorder="1" applyAlignment="1">
      <alignment horizontal="right" vertical="center" wrapText="1"/>
    </xf>
    <xf numFmtId="3" fontId="19" fillId="0" borderId="55" xfId="0" applyNumberFormat="1" applyFont="1" applyFill="1" applyBorder="1" applyAlignment="1">
      <alignment horizontal="center" vertical="center" wrapText="1"/>
    </xf>
    <xf numFmtId="0" fontId="19" fillId="0" borderId="104" xfId="0" applyFont="1" applyFill="1" applyBorder="1" applyAlignment="1">
      <alignment horizontal="center" vertical="center" wrapText="1"/>
    </xf>
    <xf numFmtId="175" fontId="11" fillId="0" borderId="56" xfId="1" applyNumberFormat="1" applyFont="1" applyFill="1" applyBorder="1" applyAlignment="1">
      <alignment horizontal="right" vertical="center" wrapText="1"/>
    </xf>
    <xf numFmtId="175" fontId="11" fillId="0" borderId="94" xfId="1" applyNumberFormat="1" applyFont="1" applyFill="1" applyBorder="1" applyAlignment="1">
      <alignment horizontal="right" vertical="center" wrapText="1"/>
    </xf>
    <xf numFmtId="10" fontId="11" fillId="0" borderId="107" xfId="2" applyNumberFormat="1" applyFont="1" applyFill="1" applyBorder="1" applyAlignment="1">
      <alignment horizontal="center" vertical="center" wrapText="1"/>
    </xf>
    <xf numFmtId="49" fontId="19" fillId="0" borderId="107" xfId="0" applyNumberFormat="1" applyFont="1" applyFill="1" applyBorder="1" applyAlignment="1">
      <alignment horizontal="justify" vertical="center"/>
    </xf>
    <xf numFmtId="0" fontId="7" fillId="10" borderId="1" xfId="6" applyFont="1" applyFill="1" applyBorder="1" applyAlignment="1">
      <alignment horizontal="left" vertical="center"/>
    </xf>
    <xf numFmtId="167" fontId="20" fillId="10" borderId="2" xfId="1" applyNumberFormat="1" applyFont="1" applyFill="1" applyBorder="1" applyAlignment="1">
      <alignment vertical="center"/>
    </xf>
    <xf numFmtId="0" fontId="20" fillId="10" borderId="2" xfId="0" applyFont="1" applyFill="1" applyBorder="1" applyAlignment="1">
      <alignment vertical="center"/>
    </xf>
    <xf numFmtId="0" fontId="20" fillId="10" borderId="40" xfId="0" applyFont="1" applyFill="1" applyBorder="1" applyAlignment="1">
      <alignment vertical="center"/>
    </xf>
    <xf numFmtId="172" fontId="20" fillId="10" borderId="1" xfId="1" applyNumberFormat="1" applyFont="1" applyFill="1" applyBorder="1" applyAlignment="1">
      <alignment horizontal="left" vertical="center"/>
    </xf>
    <xf numFmtId="10" fontId="20" fillId="10" borderId="5" xfId="2" applyNumberFormat="1" applyFont="1" applyFill="1" applyBorder="1" applyAlignment="1">
      <alignment horizontal="center" vertical="center" wrapText="1"/>
    </xf>
    <xf numFmtId="172" fontId="19" fillId="10" borderId="6" xfId="1" applyNumberFormat="1" applyFont="1" applyFill="1" applyBorder="1" applyAlignment="1">
      <alignment vertical="center"/>
    </xf>
    <xf numFmtId="172" fontId="11" fillId="0" borderId="0" xfId="3" applyNumberFormat="1" applyFont="1" applyBorder="1" applyAlignment="1"/>
    <xf numFmtId="166" fontId="19" fillId="0" borderId="0" xfId="0" applyNumberFormat="1" applyFont="1"/>
    <xf numFmtId="49" fontId="19" fillId="0" borderId="79" xfId="0" applyNumberFormat="1" applyFont="1" applyFill="1" applyBorder="1" applyAlignment="1">
      <alignment horizontal="justify" vertical="center" wrapText="1"/>
    </xf>
    <xf numFmtId="49" fontId="19" fillId="3" borderId="79" xfId="25" applyNumberFormat="1" applyFont="1" applyFill="1" applyBorder="1" applyAlignment="1">
      <alignment horizontal="justify" vertical="center" wrapText="1"/>
    </xf>
    <xf numFmtId="49" fontId="19" fillId="0" borderId="79" xfId="0" applyNumberFormat="1" applyFont="1" applyFill="1" applyBorder="1" applyAlignment="1">
      <alignment horizontal="justify" vertical="center" wrapText="1"/>
    </xf>
    <xf numFmtId="49" fontId="19" fillId="3" borderId="79" xfId="0" applyNumberFormat="1" applyFont="1" applyFill="1" applyBorder="1" applyAlignment="1">
      <alignment horizontal="justify" vertical="center" wrapText="1"/>
    </xf>
    <xf numFmtId="0" fontId="19" fillId="0" borderId="79" xfId="0" applyFont="1" applyFill="1" applyBorder="1" applyAlignment="1">
      <alignment horizontal="justify" vertical="center" wrapText="1"/>
    </xf>
    <xf numFmtId="49" fontId="19" fillId="0" borderId="79" xfId="0" applyNumberFormat="1" applyFont="1" applyFill="1" applyBorder="1" applyAlignment="1">
      <alignment horizontal="justify" vertical="center" wrapText="1"/>
    </xf>
    <xf numFmtId="49" fontId="19" fillId="12" borderId="79" xfId="25" applyNumberFormat="1" applyFont="1" applyFill="1" applyBorder="1" applyAlignment="1">
      <alignment horizontal="justify" vertical="center" wrapText="1"/>
    </xf>
    <xf numFmtId="49" fontId="19" fillId="10" borderId="79" xfId="25" applyNumberFormat="1" applyFont="1" applyFill="1" applyBorder="1" applyAlignment="1">
      <alignment horizontal="justify" vertical="center" wrapText="1"/>
    </xf>
    <xf numFmtId="49" fontId="19" fillId="10" borderId="79" xfId="25" applyNumberFormat="1" applyFont="1" applyFill="1" applyBorder="1" applyAlignment="1">
      <alignment horizontal="justify" vertical="center" wrapText="1"/>
    </xf>
    <xf numFmtId="0" fontId="0" fillId="0" borderId="0" xfId="0" applyAlignment="1">
      <alignment horizontal="center"/>
    </xf>
    <xf numFmtId="49" fontId="19" fillId="0" borderId="79" xfId="0" applyNumberFormat="1" applyFont="1" applyFill="1" applyBorder="1" applyAlignment="1">
      <alignment horizontal="justify" wrapText="1"/>
    </xf>
    <xf numFmtId="0" fontId="31" fillId="0" borderId="0" xfId="0" applyFont="1" applyFill="1" applyBorder="1" applyAlignment="1">
      <alignment horizontal="center" vertical="center" wrapText="1"/>
    </xf>
    <xf numFmtId="41" fontId="7" fillId="11" borderId="2" xfId="35" applyFont="1" applyFill="1" applyBorder="1" applyAlignment="1">
      <alignment horizontal="center" vertical="center" wrapText="1"/>
    </xf>
    <xf numFmtId="0" fontId="19" fillId="0" borderId="48" xfId="0" applyFont="1" applyFill="1" applyBorder="1" applyAlignment="1">
      <alignment horizontal="center" vertical="center" wrapText="1"/>
    </xf>
    <xf numFmtId="0" fontId="0" fillId="0" borderId="0" xfId="0"/>
    <xf numFmtId="0" fontId="19" fillId="0" borderId="0" xfId="0" applyFont="1" applyFill="1" applyAlignment="1">
      <alignment horizontal="justify" vertical="center" wrapText="1"/>
    </xf>
    <xf numFmtId="0" fontId="19" fillId="0" borderId="0" xfId="0" applyFont="1"/>
    <xf numFmtId="172" fontId="19" fillId="0" borderId="0" xfId="0" applyNumberFormat="1" applyFont="1"/>
    <xf numFmtId="172" fontId="19" fillId="0" borderId="3" xfId="1" applyNumberFormat="1" applyFont="1" applyFill="1" applyBorder="1" applyAlignment="1">
      <alignment horizontal="left" vertical="center" wrapText="1"/>
    </xf>
    <xf numFmtId="172" fontId="19" fillId="0" borderId="37" xfId="1" applyNumberFormat="1" applyFont="1" applyFill="1" applyBorder="1" applyAlignment="1">
      <alignment horizontal="left" vertical="center" wrapText="1"/>
    </xf>
    <xf numFmtId="0" fontId="19" fillId="0" borderId="37" xfId="0" applyFont="1" applyFill="1" applyBorder="1" applyAlignment="1">
      <alignment horizontal="center" vertical="center" wrapText="1"/>
    </xf>
    <xf numFmtId="0" fontId="20" fillId="11" borderId="7" xfId="0" applyFont="1" applyFill="1" applyBorder="1" applyAlignment="1">
      <alignment horizontal="center" vertical="center" wrapText="1"/>
    </xf>
    <xf numFmtId="172" fontId="20" fillId="11" borderId="8" xfId="1" applyNumberFormat="1" applyFont="1" applyFill="1" applyBorder="1" applyAlignment="1">
      <alignment horizontal="center" vertical="center" wrapText="1"/>
    </xf>
    <xf numFmtId="0" fontId="20" fillId="11" borderId="8" xfId="0" applyFont="1" applyFill="1" applyBorder="1" applyAlignment="1">
      <alignment horizontal="center" vertical="center" wrapText="1"/>
    </xf>
    <xf numFmtId="172" fontId="20" fillId="11" borderId="88" xfId="1" applyNumberFormat="1" applyFont="1" applyFill="1" applyBorder="1" applyAlignment="1">
      <alignment horizontal="center" vertical="center" wrapText="1"/>
    </xf>
    <xf numFmtId="10" fontId="19" fillId="0" borderId="0" xfId="2" applyNumberFormat="1" applyFont="1"/>
    <xf numFmtId="0" fontId="19" fillId="0" borderId="0" xfId="0" applyFont="1" applyFill="1" applyAlignment="1">
      <alignment horizontal="center" vertical="center" wrapText="1"/>
    </xf>
    <xf numFmtId="176" fontId="11" fillId="0" borderId="0" xfId="195" applyNumberFormat="1" applyFont="1" applyFill="1" applyAlignment="1">
      <alignment horizontal="center" vertical="center" wrapText="1"/>
    </xf>
    <xf numFmtId="172" fontId="11" fillId="0" borderId="0" xfId="25" applyNumberFormat="1" applyFont="1" applyFill="1" applyBorder="1" applyAlignment="1">
      <alignment horizontal="justify" vertical="center" wrapText="1"/>
    </xf>
    <xf numFmtId="0" fontId="11" fillId="0" borderId="0" xfId="2" applyNumberFormat="1" applyFont="1" applyFill="1" applyBorder="1" applyAlignment="1">
      <alignment horizontal="right" vertical="center" wrapText="1"/>
    </xf>
    <xf numFmtId="10" fontId="11" fillId="0" borderId="0" xfId="2" applyNumberFormat="1" applyFont="1" applyFill="1" applyBorder="1" applyAlignment="1">
      <alignment horizontal="right" vertical="center" wrapText="1"/>
    </xf>
    <xf numFmtId="0" fontId="19" fillId="0" borderId="0" xfId="0" applyFont="1" applyFill="1" applyBorder="1" applyAlignment="1">
      <alignment horizontal="justify" vertical="center" wrapText="1"/>
    </xf>
    <xf numFmtId="0" fontId="19" fillId="0" borderId="0" xfId="0" applyFont="1" applyFill="1" applyBorder="1" applyAlignment="1">
      <alignment horizontal="center" vertical="center" wrapText="1"/>
    </xf>
    <xf numFmtId="0" fontId="21" fillId="3" borderId="4" xfId="0" applyFont="1" applyFill="1" applyBorder="1" applyAlignment="1">
      <alignment horizontal="left" vertical="center" wrapText="1"/>
    </xf>
    <xf numFmtId="3" fontId="19" fillId="3" borderId="3" xfId="0" applyNumberFormat="1" applyFont="1" applyFill="1" applyBorder="1" applyAlignment="1">
      <alignment horizontal="center" vertical="center"/>
    </xf>
    <xf numFmtId="0" fontId="7" fillId="0" borderId="0" xfId="6" applyFont="1" applyFill="1" applyBorder="1" applyAlignment="1">
      <alignment horizontal="left" vertical="center"/>
    </xf>
    <xf numFmtId="3"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3" fontId="19" fillId="0" borderId="0" xfId="0" applyNumberFormat="1" applyFont="1" applyFill="1" applyAlignment="1">
      <alignment horizontal="center" vertical="center" wrapText="1"/>
    </xf>
    <xf numFmtId="176" fontId="11" fillId="0" borderId="0" xfId="195"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3" fontId="7" fillId="11" borderId="2" xfId="0" applyNumberFormat="1" applyFont="1" applyFill="1" applyBorder="1" applyAlignment="1">
      <alignment horizontal="center" vertical="center" wrapText="1"/>
    </xf>
    <xf numFmtId="0" fontId="20" fillId="11" borderId="38" xfId="0" applyFont="1" applyFill="1" applyBorder="1" applyAlignment="1">
      <alignment horizontal="left" vertical="center" wrapText="1"/>
    </xf>
    <xf numFmtId="3" fontId="20" fillId="11" borderId="33" xfId="0" applyNumberFormat="1" applyFont="1" applyFill="1" applyBorder="1" applyAlignment="1">
      <alignment horizontal="center" vertical="center" wrapText="1"/>
    </xf>
    <xf numFmtId="3" fontId="19" fillId="0" borderId="0" xfId="0" applyNumberFormat="1" applyFont="1" applyFill="1" applyBorder="1" applyAlignment="1">
      <alignment horizontal="justify" vertical="center" wrapText="1"/>
    </xf>
    <xf numFmtId="10" fontId="19" fillId="0" borderId="0" xfId="2" applyNumberFormat="1" applyFont="1" applyFill="1" applyBorder="1" applyAlignment="1">
      <alignment horizontal="justify" vertical="center" wrapText="1"/>
    </xf>
    <xf numFmtId="0" fontId="7" fillId="11" borderId="1" xfId="6" applyFont="1" applyFill="1" applyBorder="1" applyAlignment="1">
      <alignment horizontal="left" vertical="center"/>
    </xf>
    <xf numFmtId="3" fontId="20" fillId="11" borderId="2" xfId="0" applyNumberFormat="1" applyFont="1" applyFill="1" applyBorder="1" applyAlignment="1">
      <alignment horizontal="center" vertical="center"/>
    </xf>
    <xf numFmtId="176" fontId="7" fillId="0" borderId="0" xfId="195" applyNumberFormat="1" applyFont="1" applyFill="1" applyBorder="1" applyAlignment="1">
      <alignment horizontal="center" vertical="center"/>
    </xf>
    <xf numFmtId="49" fontId="20" fillId="0" borderId="0" xfId="25" applyNumberFormat="1" applyFont="1" applyFill="1" applyBorder="1" applyAlignment="1">
      <alignment horizontal="justify" vertical="center" wrapText="1"/>
    </xf>
    <xf numFmtId="175" fontId="19" fillId="0" borderId="0" xfId="0" applyNumberFormat="1" applyFont="1" applyFill="1" applyAlignment="1">
      <alignment horizontal="center" vertical="center" wrapText="1"/>
    </xf>
    <xf numFmtId="49" fontId="19" fillId="0" borderId="0" xfId="0" applyNumberFormat="1" applyFont="1" applyFill="1" applyAlignment="1">
      <alignment horizontal="justify" vertical="center" wrapText="1"/>
    </xf>
    <xf numFmtId="175" fontId="27" fillId="3" borderId="0" xfId="1" applyNumberFormat="1" applyFont="1" applyFill="1" applyBorder="1" applyAlignment="1">
      <alignment horizontal="center" vertical="center"/>
    </xf>
    <xf numFmtId="49" fontId="19" fillId="12" borderId="79" xfId="25" applyNumberFormat="1" applyFont="1" applyFill="1" applyBorder="1" applyAlignment="1">
      <alignment horizontal="justify" vertical="center" wrapText="1"/>
    </xf>
    <xf numFmtId="0" fontId="20" fillId="11" borderId="39" xfId="0" applyFont="1" applyFill="1" applyBorder="1" applyAlignment="1">
      <alignment horizontal="center" vertical="center" wrapText="1"/>
    </xf>
    <xf numFmtId="42" fontId="7" fillId="11" borderId="89" xfId="36" applyFont="1" applyFill="1" applyBorder="1" applyAlignment="1">
      <alignment horizontal="center" vertical="center" wrapText="1"/>
    </xf>
    <xf numFmtId="49" fontId="20" fillId="11" borderId="106" xfId="0" applyNumberFormat="1" applyFont="1" applyFill="1" applyBorder="1" applyAlignment="1">
      <alignment horizontal="justify" vertical="center" wrapText="1"/>
    </xf>
    <xf numFmtId="0" fontId="20" fillId="11" borderId="10" xfId="0" applyFont="1" applyFill="1" applyBorder="1" applyAlignment="1">
      <alignment horizontal="center" vertical="center" wrapText="1"/>
    </xf>
    <xf numFmtId="176" fontId="7" fillId="11" borderId="41" xfId="195" applyNumberFormat="1" applyFont="1" applyFill="1" applyBorder="1" applyAlignment="1">
      <alignment horizontal="center" vertical="center" wrapText="1"/>
    </xf>
    <xf numFmtId="49" fontId="7" fillId="11" borderId="11" xfId="0" applyNumberFormat="1" applyFont="1" applyFill="1" applyBorder="1" applyAlignment="1">
      <alignment horizontal="center" vertical="center" wrapText="1"/>
    </xf>
    <xf numFmtId="10" fontId="20" fillId="0" borderId="0" xfId="2" applyNumberFormat="1" applyFont="1" applyFill="1" applyAlignment="1">
      <alignment horizontal="center" vertical="center" wrapText="1"/>
    </xf>
    <xf numFmtId="176" fontId="20" fillId="0" borderId="0" xfId="2" applyNumberFormat="1" applyFont="1" applyFill="1" applyAlignment="1">
      <alignment horizontal="center" vertical="center" wrapText="1"/>
    </xf>
    <xf numFmtId="0" fontId="20" fillId="11" borderId="10" xfId="0" applyFont="1" applyFill="1" applyBorder="1" applyAlignment="1">
      <alignment horizontal="center" vertical="center"/>
    </xf>
    <xf numFmtId="42" fontId="7" fillId="11" borderId="41" xfId="36" applyFont="1" applyFill="1" applyBorder="1" applyAlignment="1">
      <alignment horizontal="center" vertical="center"/>
    </xf>
    <xf numFmtId="49" fontId="20" fillId="11" borderId="11" xfId="25" applyNumberFormat="1" applyFont="1" applyFill="1" applyBorder="1" applyAlignment="1">
      <alignment horizontal="justify" vertical="center" wrapText="1"/>
    </xf>
    <xf numFmtId="165" fontId="11" fillId="0" borderId="0" xfId="195" applyFont="1" applyFill="1" applyAlignment="1">
      <alignment horizontal="center" vertical="center" wrapText="1"/>
    </xf>
    <xf numFmtId="42" fontId="7" fillId="11" borderId="78" xfId="36" applyFont="1" applyFill="1" applyBorder="1" applyAlignment="1">
      <alignment horizontal="center" vertical="center" wrapText="1"/>
    </xf>
    <xf numFmtId="172" fontId="7" fillId="11" borderId="40" xfId="25" applyNumberFormat="1" applyFont="1" applyFill="1" applyBorder="1" applyAlignment="1">
      <alignment horizontal="center" vertical="center" wrapText="1"/>
    </xf>
    <xf numFmtId="10" fontId="20" fillId="11" borderId="15" xfId="2" applyNumberFormat="1" applyFont="1" applyFill="1" applyBorder="1" applyAlignment="1">
      <alignment horizontal="center" vertical="center" wrapText="1"/>
    </xf>
    <xf numFmtId="42" fontId="19" fillId="0" borderId="58" xfId="36" applyFont="1" applyFill="1" applyBorder="1" applyAlignment="1">
      <alignment horizontal="center" vertical="center"/>
    </xf>
    <xf numFmtId="10" fontId="11" fillId="3" borderId="16" xfId="2" applyNumberFormat="1" applyFont="1" applyFill="1" applyBorder="1" applyAlignment="1">
      <alignment horizontal="center" vertical="center" wrapText="1"/>
    </xf>
    <xf numFmtId="42" fontId="7" fillId="11" borderId="40" xfId="36" applyFont="1" applyFill="1" applyBorder="1" applyAlignment="1">
      <alignment horizontal="center" vertical="center"/>
    </xf>
    <xf numFmtId="10" fontId="19" fillId="0" borderId="16" xfId="2" applyNumberFormat="1" applyFont="1" applyFill="1" applyBorder="1" applyAlignment="1">
      <alignment horizontal="center" vertical="center" wrapText="1"/>
    </xf>
    <xf numFmtId="42" fontId="11" fillId="3" borderId="14" xfId="36" applyFont="1" applyFill="1" applyBorder="1" applyAlignment="1">
      <alignment horizontal="center" vertical="center" wrapText="1"/>
    </xf>
    <xf numFmtId="0" fontId="19" fillId="3" borderId="12" xfId="0" applyFont="1" applyFill="1" applyBorder="1" applyAlignment="1">
      <alignment horizontal="center" vertical="center" wrapText="1"/>
    </xf>
    <xf numFmtId="10" fontId="20" fillId="11" borderId="6" xfId="2" applyNumberFormat="1" applyFont="1" applyFill="1" applyBorder="1" applyAlignment="1">
      <alignment horizontal="center" vertical="center"/>
    </xf>
    <xf numFmtId="10" fontId="7" fillId="11" borderId="6" xfId="2" applyNumberFormat="1" applyFont="1" applyFill="1" applyBorder="1" applyAlignment="1">
      <alignment horizontal="center" vertical="center" wrapText="1"/>
    </xf>
    <xf numFmtId="0" fontId="19" fillId="0" borderId="0" xfId="0" applyFont="1" applyAlignment="1">
      <alignment horizontal="center" vertical="center" wrapText="1"/>
    </xf>
    <xf numFmtId="0" fontId="21" fillId="0" borderId="35" xfId="0" applyFont="1" applyBorder="1" applyAlignment="1">
      <alignment vertical="center" wrapText="1"/>
    </xf>
    <xf numFmtId="172" fontId="19" fillId="0" borderId="35" xfId="1" applyNumberFormat="1" applyFont="1" applyFill="1" applyBorder="1" applyAlignment="1">
      <alignment horizontal="left" vertical="center" wrapText="1"/>
    </xf>
    <xf numFmtId="0" fontId="19" fillId="0" borderId="35" xfId="0" applyFont="1" applyFill="1" applyBorder="1" applyAlignment="1">
      <alignment horizontal="center" vertical="center" wrapText="1"/>
    </xf>
    <xf numFmtId="172" fontId="19" fillId="0" borderId="35" xfId="1" applyNumberFormat="1" applyFont="1" applyFill="1" applyBorder="1" applyAlignment="1">
      <alignment horizontal="right" vertical="center" wrapText="1"/>
    </xf>
    <xf numFmtId="0" fontId="19" fillId="0" borderId="45" xfId="0" applyFont="1" applyFill="1" applyBorder="1" applyAlignment="1">
      <alignment horizontal="justify" vertical="center" wrapText="1"/>
    </xf>
    <xf numFmtId="0" fontId="21" fillId="0" borderId="37" xfId="0" applyFont="1" applyBorder="1" applyAlignment="1">
      <alignment vertical="center" wrapText="1"/>
    </xf>
    <xf numFmtId="172" fontId="19" fillId="0" borderId="37" xfId="1" applyNumberFormat="1" applyFont="1" applyFill="1" applyBorder="1" applyAlignment="1">
      <alignment horizontal="right" vertical="center" wrapText="1"/>
    </xf>
    <xf numFmtId="0" fontId="19" fillId="0" borderId="42" xfId="0" applyFont="1" applyFill="1" applyBorder="1" applyAlignment="1">
      <alignment horizontal="justify" vertical="center" wrapText="1"/>
    </xf>
    <xf numFmtId="0" fontId="19" fillId="3" borderId="70" xfId="0" applyFont="1" applyFill="1" applyBorder="1" applyAlignment="1">
      <alignment horizontal="left" vertical="center" wrapText="1"/>
    </xf>
    <xf numFmtId="3" fontId="19" fillId="0" borderId="70" xfId="25" applyNumberFormat="1" applyFont="1" applyFill="1" applyBorder="1" applyAlignment="1">
      <alignment horizontal="center" vertical="center" wrapText="1"/>
    </xf>
    <xf numFmtId="0" fontId="19" fillId="0" borderId="70" xfId="25" applyNumberFormat="1" applyFont="1" applyFill="1" applyBorder="1" applyAlignment="1">
      <alignment horizontal="center" vertical="center" wrapText="1"/>
    </xf>
    <xf numFmtId="0" fontId="21" fillId="3" borderId="37" xfId="0" applyFont="1" applyFill="1" applyBorder="1" applyAlignment="1">
      <alignment horizontal="left" vertical="center" wrapText="1"/>
    </xf>
    <xf numFmtId="182" fontId="19" fillId="3" borderId="37" xfId="25" applyNumberFormat="1" applyFont="1" applyFill="1" applyBorder="1" applyAlignment="1">
      <alignment horizontal="center" vertical="center" wrapText="1"/>
    </xf>
    <xf numFmtId="3" fontId="19" fillId="3" borderId="37" xfId="0" applyNumberFormat="1" applyFont="1" applyFill="1" applyBorder="1" applyAlignment="1">
      <alignment horizontal="center" vertical="center"/>
    </xf>
    <xf numFmtId="0" fontId="19" fillId="3" borderId="37" xfId="0" applyFont="1" applyFill="1" applyBorder="1" applyAlignment="1">
      <alignment horizontal="center" vertical="center" wrapText="1"/>
    </xf>
    <xf numFmtId="42" fontId="11" fillId="3" borderId="37" xfId="36" applyFont="1" applyFill="1" applyBorder="1" applyAlignment="1">
      <alignment horizontal="center" vertical="center" wrapText="1"/>
    </xf>
    <xf numFmtId="49" fontId="19" fillId="0" borderId="42" xfId="0" applyNumberFormat="1" applyFont="1" applyFill="1" applyBorder="1" applyAlignment="1">
      <alignment horizontal="justify" vertical="center" wrapText="1"/>
    </xf>
    <xf numFmtId="41" fontId="20" fillId="11" borderId="33" xfId="35" applyFont="1" applyFill="1" applyBorder="1" applyAlignment="1">
      <alignment vertical="center" wrapText="1"/>
    </xf>
    <xf numFmtId="41" fontId="7" fillId="11" borderId="2" xfId="35" applyFont="1" applyFill="1" applyBorder="1" applyAlignment="1">
      <alignment vertical="center"/>
    </xf>
    <xf numFmtId="41" fontId="7" fillId="0" borderId="0" xfId="35" applyFont="1" applyFill="1" applyBorder="1" applyAlignment="1">
      <alignment vertical="center"/>
    </xf>
    <xf numFmtId="41" fontId="19" fillId="0" borderId="0" xfId="35" applyFont="1" applyFill="1" applyAlignment="1">
      <alignment vertical="center" wrapText="1"/>
    </xf>
    <xf numFmtId="42" fontId="19" fillId="3" borderId="3" xfId="36" applyFont="1" applyFill="1" applyBorder="1" applyAlignment="1">
      <alignment vertical="center" wrapText="1"/>
    </xf>
    <xf numFmtId="0" fontId="5" fillId="0" borderId="48" xfId="0" applyFont="1" applyBorder="1" applyAlignment="1">
      <alignment horizontal="center" vertical="center" wrapText="1"/>
    </xf>
    <xf numFmtId="0" fontId="5" fillId="0" borderId="0" xfId="0" applyFont="1" applyAlignment="1">
      <alignment vertical="center"/>
    </xf>
    <xf numFmtId="0" fontId="20" fillId="11" borderId="108" xfId="0" applyFont="1" applyFill="1" applyBorder="1" applyAlignment="1">
      <alignment horizontal="center" vertical="center" wrapText="1"/>
    </xf>
    <xf numFmtId="0" fontId="5" fillId="0" borderId="70" xfId="0" applyFont="1" applyBorder="1" applyAlignment="1">
      <alignment horizontal="center" vertical="center" wrapText="1"/>
    </xf>
    <xf numFmtId="172" fontId="11" fillId="0" borderId="70" xfId="1" applyNumberFormat="1" applyFont="1" applyFill="1" applyBorder="1" applyAlignment="1">
      <alignment horizontal="justify" vertical="center" wrapText="1"/>
    </xf>
    <xf numFmtId="0" fontId="21" fillId="3" borderId="33" xfId="0" applyFont="1" applyFill="1" applyBorder="1" applyAlignment="1">
      <alignment horizontal="left" vertical="center" wrapText="1"/>
    </xf>
    <xf numFmtId="182" fontId="19" fillId="3" borderId="33" xfId="25" applyNumberFormat="1" applyFont="1" applyFill="1" applyBorder="1" applyAlignment="1">
      <alignment horizontal="center" vertical="center" wrapText="1"/>
    </xf>
    <xf numFmtId="3" fontId="19" fillId="3" borderId="33" xfId="0" applyNumberFormat="1" applyFont="1" applyFill="1" applyBorder="1" applyAlignment="1">
      <alignment horizontal="center" vertical="center"/>
    </xf>
    <xf numFmtId="0" fontId="19" fillId="3" borderId="33" xfId="0" applyFont="1" applyFill="1" applyBorder="1" applyAlignment="1">
      <alignment horizontal="center" vertical="center" wrapText="1"/>
    </xf>
    <xf numFmtId="42" fontId="11" fillId="3" borderId="33" xfId="36" applyFont="1" applyFill="1" applyBorder="1" applyAlignment="1">
      <alignment horizontal="center" vertical="center" wrapText="1"/>
    </xf>
    <xf numFmtId="49" fontId="19" fillId="0" borderId="39" xfId="0" applyNumberFormat="1" applyFont="1" applyFill="1" applyBorder="1" applyAlignment="1">
      <alignment horizontal="justify" vertical="center" wrapText="1"/>
    </xf>
    <xf numFmtId="0" fontId="19" fillId="0" borderId="70" xfId="0" applyFont="1" applyFill="1" applyBorder="1" applyAlignment="1">
      <alignment horizontal="center" vertical="center" wrapText="1"/>
    </xf>
    <xf numFmtId="0" fontId="11" fillId="0" borderId="70" xfId="0" applyFont="1" applyBorder="1" applyAlignment="1">
      <alignment horizontal="left" vertical="center" wrapText="1"/>
    </xf>
    <xf numFmtId="172" fontId="19" fillId="0" borderId="70" xfId="1" applyNumberFormat="1" applyFont="1" applyFill="1" applyBorder="1" applyAlignment="1">
      <alignment horizontal="left" vertical="center" wrapText="1"/>
    </xf>
    <xf numFmtId="3" fontId="19" fillId="0" borderId="70" xfId="0" applyNumberFormat="1" applyFont="1" applyFill="1" applyBorder="1" applyAlignment="1">
      <alignment horizontal="center" vertical="center" wrapText="1"/>
    </xf>
    <xf numFmtId="0" fontId="19" fillId="3" borderId="49" xfId="0" applyFont="1" applyFill="1" applyBorder="1" applyAlignment="1">
      <alignment horizontal="justify" vertical="top" wrapText="1"/>
    </xf>
    <xf numFmtId="0" fontId="19" fillId="0" borderId="3" xfId="0" applyFont="1" applyFill="1" applyBorder="1" applyAlignment="1">
      <alignment horizontal="center" vertical="center" wrapText="1"/>
    </xf>
    <xf numFmtId="172" fontId="19" fillId="0" borderId="0" xfId="0" applyNumberFormat="1" applyFont="1" applyFill="1" applyBorder="1" applyAlignment="1">
      <alignment horizontal="justify" vertical="center" wrapText="1"/>
    </xf>
    <xf numFmtId="176" fontId="36" fillId="0" borderId="59" xfId="17" applyNumberFormat="1" applyFont="1" applyFill="1" applyBorder="1" applyAlignment="1"/>
    <xf numFmtId="176" fontId="36" fillId="0" borderId="61" xfId="17" applyNumberFormat="1" applyFont="1" applyFill="1" applyBorder="1" applyAlignment="1"/>
    <xf numFmtId="0" fontId="19" fillId="0" borderId="33" xfId="0" applyFont="1" applyFill="1" applyBorder="1" applyAlignment="1">
      <alignment horizontal="center" vertical="center" wrapText="1"/>
    </xf>
    <xf numFmtId="0" fontId="21" fillId="0" borderId="56" xfId="0" applyFont="1" applyFill="1" applyBorder="1" applyAlignment="1">
      <alignment horizontal="left" vertical="center" wrapText="1"/>
    </xf>
    <xf numFmtId="175" fontId="11" fillId="0" borderId="58" xfId="1" applyNumberFormat="1" applyFont="1" applyFill="1" applyBorder="1" applyAlignment="1">
      <alignment horizontal="right" vertical="center" wrapText="1"/>
    </xf>
    <xf numFmtId="175" fontId="7" fillId="11" borderId="58" xfId="1" applyNumberFormat="1" applyFont="1" applyFill="1" applyBorder="1" applyAlignment="1">
      <alignment horizontal="right" vertical="center"/>
    </xf>
    <xf numFmtId="175" fontId="7" fillId="10" borderId="58" xfId="1" applyNumberFormat="1" applyFont="1" applyFill="1" applyBorder="1" applyAlignment="1">
      <alignment horizontal="right" vertical="center" wrapText="1"/>
    </xf>
    <xf numFmtId="175" fontId="7" fillId="10" borderId="58" xfId="1" applyNumberFormat="1" applyFont="1" applyFill="1" applyBorder="1" applyAlignment="1">
      <alignment horizontal="right" vertical="center"/>
    </xf>
    <xf numFmtId="175" fontId="11" fillId="3" borderId="58" xfId="1" applyNumberFormat="1" applyFont="1" applyFill="1" applyBorder="1" applyAlignment="1">
      <alignment horizontal="right" vertical="center"/>
    </xf>
    <xf numFmtId="175" fontId="7" fillId="10" borderId="85" xfId="1" applyNumberFormat="1" applyFont="1" applyFill="1" applyBorder="1" applyAlignment="1">
      <alignment horizontal="right" vertical="center"/>
    </xf>
    <xf numFmtId="175" fontId="11" fillId="0" borderId="81" xfId="1" applyNumberFormat="1" applyFont="1" applyFill="1" applyBorder="1" applyAlignment="1">
      <alignment horizontal="right" vertical="center" wrapText="1"/>
    </xf>
    <xf numFmtId="10" fontId="11" fillId="0" borderId="46" xfId="2" applyNumberFormat="1" applyFont="1" applyFill="1" applyBorder="1" applyAlignment="1">
      <alignment horizontal="center" vertical="center" wrapText="1"/>
    </xf>
    <xf numFmtId="10" fontId="11" fillId="0" borderId="16" xfId="2" applyNumberFormat="1" applyFont="1" applyFill="1" applyBorder="1" applyAlignment="1">
      <alignment horizontal="center" vertical="center" wrapText="1"/>
    </xf>
    <xf numFmtId="10" fontId="7" fillId="11" borderId="16" xfId="2" applyNumberFormat="1" applyFont="1" applyFill="1" applyBorder="1" applyAlignment="1">
      <alignment horizontal="center" vertical="center"/>
    </xf>
    <xf numFmtId="10" fontId="7" fillId="10" borderId="16" xfId="2" applyNumberFormat="1" applyFont="1" applyFill="1" applyBorder="1" applyAlignment="1">
      <alignment horizontal="center" vertical="center" wrapText="1"/>
    </xf>
    <xf numFmtId="10" fontId="7" fillId="10" borderId="16" xfId="2" applyNumberFormat="1" applyFont="1" applyFill="1" applyBorder="1" applyAlignment="1">
      <alignment horizontal="center" vertical="center"/>
    </xf>
    <xf numFmtId="10" fontId="11" fillId="0" borderId="17" xfId="2" applyNumberFormat="1" applyFont="1" applyFill="1" applyBorder="1" applyAlignment="1">
      <alignment horizontal="center" vertical="center" wrapText="1"/>
    </xf>
    <xf numFmtId="175" fontId="0" fillId="0" borderId="0" xfId="0" applyNumberFormat="1" applyAlignment="1">
      <alignment vertical="center"/>
    </xf>
    <xf numFmtId="172" fontId="20" fillId="0" borderId="6" xfId="0" applyNumberFormat="1" applyFont="1" applyBorder="1"/>
    <xf numFmtId="0" fontId="20" fillId="0" borderId="11" xfId="0" applyFont="1" applyBorder="1"/>
    <xf numFmtId="180" fontId="54" fillId="0" borderId="0" xfId="255" applyNumberFormat="1" applyFont="1"/>
    <xf numFmtId="169" fontId="54" fillId="0" borderId="0" xfId="2" applyNumberFormat="1" applyFont="1" applyBorder="1"/>
    <xf numFmtId="0" fontId="56" fillId="0" borderId="0" xfId="0" applyFont="1" applyBorder="1" applyAlignment="1">
      <alignment horizontal="left"/>
    </xf>
    <xf numFmtId="180" fontId="54" fillId="0" borderId="0" xfId="0" applyNumberFormat="1" applyFont="1"/>
    <xf numFmtId="9" fontId="56" fillId="0" borderId="99" xfId="2" applyFont="1" applyBorder="1" applyAlignment="1">
      <alignment horizontal="center" vertical="center" wrapText="1" readingOrder="1"/>
    </xf>
    <xf numFmtId="169" fontId="54" fillId="0" borderId="0" xfId="2" applyNumberFormat="1" applyFont="1"/>
    <xf numFmtId="180" fontId="54" fillId="0" borderId="0" xfId="255" applyNumberFormat="1" applyFont="1" applyAlignment="1">
      <alignment horizontal="center"/>
    </xf>
    <xf numFmtId="9" fontId="54" fillId="0" borderId="0" xfId="0" applyNumberFormat="1" applyFont="1" applyFill="1"/>
    <xf numFmtId="0" fontId="54" fillId="0" borderId="0" xfId="0" applyFont="1"/>
    <xf numFmtId="166" fontId="56" fillId="0" borderId="99" xfId="0" applyNumberFormat="1" applyFont="1" applyBorder="1" applyAlignment="1">
      <alignment vertical="center" wrapText="1" readingOrder="1"/>
    </xf>
    <xf numFmtId="166" fontId="54" fillId="0" borderId="0" xfId="0" applyNumberFormat="1" applyFont="1"/>
    <xf numFmtId="166" fontId="54" fillId="0" borderId="0" xfId="0" applyNumberFormat="1" applyFont="1" applyBorder="1" applyAlignment="1">
      <alignment horizontal="center" vertical="center" wrapText="1" readingOrder="1"/>
    </xf>
    <xf numFmtId="3" fontId="54" fillId="0" borderId="0" xfId="250" applyNumberFormat="1" applyFont="1" applyBorder="1"/>
    <xf numFmtId="17" fontId="56" fillId="0" borderId="99" xfId="0" applyNumberFormat="1" applyFont="1" applyBorder="1" applyAlignment="1">
      <alignment horizontal="center" vertical="center" wrapText="1" readingOrder="1"/>
    </xf>
    <xf numFmtId="0" fontId="54" fillId="0" borderId="0" xfId="0" applyFont="1" applyAlignment="1">
      <alignment horizontal="center"/>
    </xf>
    <xf numFmtId="9" fontId="54" fillId="0" borderId="0" xfId="2" applyFont="1"/>
    <xf numFmtId="178" fontId="55" fillId="0" borderId="6" xfId="37" applyNumberFormat="1" applyFont="1" applyBorder="1" applyAlignment="1">
      <alignment vertical="center"/>
    </xf>
    <xf numFmtId="0" fontId="54" fillId="0" borderId="0" xfId="0" applyNumberFormat="1" applyFont="1" applyAlignment="1">
      <alignment horizontal="center"/>
    </xf>
    <xf numFmtId="3" fontId="56" fillId="0" borderId="0" xfId="250" applyNumberFormat="1" applyFont="1" applyBorder="1" applyAlignment="1">
      <alignment horizontal="left"/>
    </xf>
    <xf numFmtId="169" fontId="56" fillId="0" borderId="99" xfId="2" applyNumberFormat="1" applyFont="1" applyBorder="1" applyAlignment="1">
      <alignment horizontal="center" vertical="center" wrapText="1" readingOrder="1"/>
    </xf>
    <xf numFmtId="0" fontId="54" fillId="0" borderId="0" xfId="0" applyFont="1" applyFill="1"/>
    <xf numFmtId="0" fontId="54" fillId="0" borderId="0" xfId="0" applyNumberFormat="1" applyFont="1" applyBorder="1" applyAlignment="1">
      <alignment horizontal="center" vertical="center" wrapText="1" readingOrder="1"/>
    </xf>
    <xf numFmtId="0" fontId="41" fillId="14" borderId="95" xfId="0" applyFont="1" applyFill="1" applyBorder="1" applyAlignment="1">
      <alignment horizontal="center" vertical="center" wrapText="1" readingOrder="1"/>
    </xf>
    <xf numFmtId="166" fontId="41" fillId="14" borderId="96" xfId="0" applyNumberFormat="1" applyFont="1" applyFill="1" applyBorder="1" applyAlignment="1">
      <alignment horizontal="right" vertical="center" wrapText="1" readingOrder="1"/>
    </xf>
    <xf numFmtId="0" fontId="41" fillId="14" borderId="99" xfId="0" applyFont="1" applyFill="1" applyBorder="1" applyAlignment="1">
      <alignment horizontal="center" vertical="center" wrapText="1" readingOrder="1"/>
    </xf>
    <xf numFmtId="166" fontId="41" fillId="14" borderId="99" xfId="0" applyNumberFormat="1" applyFont="1" applyFill="1" applyBorder="1" applyAlignment="1">
      <alignment horizontal="right" vertical="center" wrapText="1" readingOrder="1"/>
    </xf>
    <xf numFmtId="9" fontId="41" fillId="14" borderId="99" xfId="0" applyNumberFormat="1" applyFont="1" applyFill="1" applyBorder="1" applyAlignment="1">
      <alignment horizontal="center" vertical="center" wrapText="1" readingOrder="1"/>
    </xf>
    <xf numFmtId="169" fontId="41" fillId="14" borderId="99" xfId="0" applyNumberFormat="1" applyFont="1" applyFill="1" applyBorder="1" applyAlignment="1">
      <alignment horizontal="center" vertical="center" wrapText="1" readingOrder="1"/>
    </xf>
    <xf numFmtId="169" fontId="41" fillId="14" borderId="99" xfId="2" applyNumberFormat="1" applyFont="1" applyFill="1" applyBorder="1" applyAlignment="1">
      <alignment horizontal="center" vertical="center" wrapText="1" readingOrder="1"/>
    </xf>
    <xf numFmtId="0" fontId="41" fillId="14" borderId="99" xfId="0" applyNumberFormat="1" applyFont="1" applyFill="1" applyBorder="1" applyAlignment="1">
      <alignment horizontal="center" vertical="center" wrapText="1" readingOrder="1"/>
    </xf>
    <xf numFmtId="180" fontId="54" fillId="0" borderId="0" xfId="255" applyNumberFormat="1" applyFont="1" applyAlignment="1">
      <alignment vertical="center"/>
    </xf>
    <xf numFmtId="180" fontId="55" fillId="0" borderId="0" xfId="255" applyNumberFormat="1" applyFont="1" applyAlignment="1">
      <alignment vertical="center"/>
    </xf>
    <xf numFmtId="0" fontId="41" fillId="0" borderId="0" xfId="0" applyFont="1" applyFill="1" applyBorder="1" applyAlignment="1">
      <alignment horizontal="center" vertical="center" wrapText="1" readingOrder="1"/>
    </xf>
    <xf numFmtId="9" fontId="41" fillId="0" borderId="0" xfId="0" applyNumberFormat="1" applyFont="1" applyFill="1" applyBorder="1" applyAlignment="1">
      <alignment horizontal="center" vertical="center" wrapText="1" readingOrder="1"/>
    </xf>
    <xf numFmtId="166" fontId="41" fillId="0" borderId="0" xfId="0" applyNumberFormat="1" applyFont="1" applyFill="1" applyBorder="1" applyAlignment="1">
      <alignment horizontal="right" vertical="center" wrapText="1" readingOrder="1"/>
    </xf>
    <xf numFmtId="169" fontId="41" fillId="0" borderId="0" xfId="0" applyNumberFormat="1" applyFont="1" applyFill="1" applyBorder="1" applyAlignment="1">
      <alignment horizontal="center" vertical="center" wrapText="1" readingOrder="1"/>
    </xf>
    <xf numFmtId="180" fontId="55" fillId="0" borderId="0" xfId="255" applyNumberFormat="1" applyFont="1" applyFill="1" applyAlignment="1">
      <alignment vertical="center"/>
    </xf>
    <xf numFmtId="180" fontId="54" fillId="0" borderId="0" xfId="255" applyNumberFormat="1" applyFont="1" applyFill="1" applyAlignment="1">
      <alignment vertical="center"/>
    </xf>
    <xf numFmtId="9" fontId="54" fillId="0" borderId="0" xfId="2" applyFont="1" applyFill="1" applyAlignment="1">
      <alignment vertical="center"/>
    </xf>
    <xf numFmtId="9" fontId="54" fillId="0" borderId="0" xfId="2" applyFont="1" applyAlignment="1">
      <alignment vertical="center"/>
    </xf>
    <xf numFmtId="169" fontId="54" fillId="0" borderId="0" xfId="2" applyNumberFormat="1" applyFont="1" applyAlignment="1">
      <alignment vertical="center"/>
    </xf>
    <xf numFmtId="0" fontId="52" fillId="14" borderId="99" xfId="39" applyFont="1" applyFill="1" applyBorder="1" applyAlignment="1">
      <alignment horizontal="center" vertical="center"/>
    </xf>
    <xf numFmtId="0" fontId="52" fillId="14" borderId="102" xfId="39" applyFont="1" applyFill="1" applyBorder="1" applyAlignment="1">
      <alignment horizontal="center" vertical="center" wrapText="1"/>
    </xf>
    <xf numFmtId="166" fontId="53" fillId="0" borderId="99" xfId="39" applyNumberFormat="1" applyFont="1" applyBorder="1" applyAlignment="1">
      <alignment horizontal="right"/>
    </xf>
    <xf numFmtId="2" fontId="53" fillId="0" borderId="99" xfId="39" applyNumberFormat="1" applyFont="1" applyBorder="1" applyAlignment="1">
      <alignment horizontal="right"/>
    </xf>
    <xf numFmtId="10" fontId="53" fillId="0" borderId="99" xfId="41" applyNumberFormat="1" applyFont="1" applyBorder="1" applyAlignment="1">
      <alignment horizontal="right"/>
    </xf>
    <xf numFmtId="0" fontId="53" fillId="0" borderId="99" xfId="39" applyFont="1" applyBorder="1" applyAlignment="1">
      <alignment horizontal="center"/>
    </xf>
    <xf numFmtId="3" fontId="53" fillId="0" borderId="99" xfId="39" applyNumberFormat="1" applyFont="1" applyBorder="1" applyAlignment="1">
      <alignment horizontal="right"/>
    </xf>
    <xf numFmtId="0" fontId="57" fillId="0" borderId="99" xfId="39" applyFont="1" applyBorder="1"/>
    <xf numFmtId="10" fontId="57" fillId="0" borderId="99" xfId="2" applyNumberFormat="1" applyFont="1" applyBorder="1" applyAlignment="1">
      <alignment horizontal="center"/>
    </xf>
    <xf numFmtId="176" fontId="6" fillId="0" borderId="0" xfId="17" applyNumberFormat="1" applyFont="1" applyAlignment="1">
      <alignment horizontal="centerContinuous"/>
    </xf>
    <xf numFmtId="0" fontId="58" fillId="18" borderId="1" xfId="0" applyFont="1" applyFill="1" applyBorder="1" applyAlignment="1">
      <alignment horizontal="center" vertical="center" wrapText="1"/>
    </xf>
    <xf numFmtId="0" fontId="58" fillId="18" borderId="2" xfId="0" applyFont="1" applyFill="1" applyBorder="1" applyAlignment="1">
      <alignment horizontal="center" vertical="center" wrapText="1"/>
    </xf>
    <xf numFmtId="172" fontId="58" fillId="18" borderId="10" xfId="1" applyNumberFormat="1" applyFont="1" applyFill="1" applyBorder="1" applyAlignment="1">
      <alignment horizontal="center" vertical="center" wrapText="1"/>
    </xf>
    <xf numFmtId="0" fontId="21" fillId="3" borderId="3" xfId="0" applyFont="1" applyFill="1" applyBorder="1" applyAlignment="1">
      <alignment horizontal="left" vertical="center" wrapText="1"/>
    </xf>
    <xf numFmtId="0" fontId="21" fillId="3" borderId="3" xfId="0" applyFont="1" applyFill="1" applyBorder="1" applyAlignment="1">
      <alignment horizontal="justify" vertical="center" wrapText="1"/>
    </xf>
    <xf numFmtId="0" fontId="19" fillId="0" borderId="3" xfId="0" applyFont="1" applyFill="1" applyBorder="1" applyAlignment="1">
      <alignment horizontal="left" vertical="center" wrapText="1"/>
    </xf>
    <xf numFmtId="3" fontId="19" fillId="0" borderId="3" xfId="0" applyNumberFormat="1" applyFont="1" applyFill="1" applyBorder="1" applyAlignment="1">
      <alignment horizontal="center" vertical="center"/>
    </xf>
    <xf numFmtId="0" fontId="19"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3" xfId="0"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9" fillId="0" borderId="3" xfId="0" applyFont="1" applyBorder="1" applyAlignment="1">
      <alignment vertical="center" wrapText="1"/>
    </xf>
    <xf numFmtId="0" fontId="19" fillId="0" borderId="3" xfId="0" applyFont="1" applyBorder="1" applyAlignment="1">
      <alignment horizontal="justify" vertical="center" wrapText="1"/>
    </xf>
    <xf numFmtId="49" fontId="19" fillId="0" borderId="3" xfId="0" applyNumberFormat="1" applyFont="1" applyFill="1" applyBorder="1" applyAlignment="1">
      <alignment horizontal="justify" vertical="center" wrapText="1"/>
    </xf>
    <xf numFmtId="0" fontId="21" fillId="0" borderId="3" xfId="0" applyFont="1" applyBorder="1" applyAlignment="1">
      <alignment horizontal="left" vertical="center"/>
    </xf>
    <xf numFmtId="0" fontId="21" fillId="0" borderId="3" xfId="0" applyFont="1" applyFill="1" applyBorder="1" applyAlignment="1">
      <alignment horizontal="left" vertical="center"/>
    </xf>
    <xf numFmtId="49" fontId="19" fillId="0" borderId="3" xfId="0" applyNumberFormat="1" applyFont="1" applyFill="1" applyBorder="1" applyAlignment="1">
      <alignment horizontal="justify" vertical="center"/>
    </xf>
    <xf numFmtId="0" fontId="58" fillId="18" borderId="10" xfId="0" applyFont="1" applyFill="1" applyBorder="1" applyAlignment="1">
      <alignment vertical="center"/>
    </xf>
    <xf numFmtId="184" fontId="19" fillId="0" borderId="0" xfId="1" applyNumberFormat="1" applyFont="1" applyFill="1" applyAlignment="1">
      <alignment horizontal="justify" vertical="center" wrapText="1"/>
    </xf>
    <xf numFmtId="184" fontId="58" fillId="18" borderId="2" xfId="1" applyNumberFormat="1" applyFont="1" applyFill="1" applyBorder="1" applyAlignment="1">
      <alignment horizontal="center" vertical="center" wrapText="1"/>
    </xf>
    <xf numFmtId="184" fontId="11" fillId="3" borderId="3" xfId="6" applyNumberFormat="1" applyFont="1" applyFill="1" applyBorder="1" applyAlignment="1">
      <alignment horizontal="right" vertical="center"/>
    </xf>
    <xf numFmtId="184" fontId="19" fillId="0" borderId="3" xfId="25" applyNumberFormat="1" applyFont="1" applyFill="1" applyBorder="1" applyAlignment="1">
      <alignment horizontal="justify" vertical="center" wrapText="1"/>
    </xf>
    <xf numFmtId="184" fontId="19" fillId="0" borderId="3" xfId="1" applyNumberFormat="1" applyFont="1" applyFill="1" applyBorder="1" applyAlignment="1">
      <alignment horizontal="justify" vertical="center" wrapText="1"/>
    </xf>
    <xf numFmtId="184" fontId="11" fillId="0" borderId="3" xfId="1" applyNumberFormat="1" applyFont="1" applyFill="1" applyBorder="1" applyAlignment="1">
      <alignment horizontal="justify" vertical="center" wrapText="1"/>
    </xf>
    <xf numFmtId="184" fontId="19" fillId="0" borderId="3" xfId="25" applyNumberFormat="1" applyFont="1" applyFill="1" applyBorder="1" applyAlignment="1">
      <alignment horizontal="right" vertical="center" wrapText="1"/>
    </xf>
    <xf numFmtId="184" fontId="19" fillId="0" borderId="3" xfId="1" applyNumberFormat="1" applyFont="1" applyFill="1" applyBorder="1" applyAlignment="1">
      <alignment horizontal="right" vertical="center" wrapText="1"/>
    </xf>
    <xf numFmtId="42" fontId="19" fillId="0" borderId="0" xfId="1" applyNumberFormat="1" applyFont="1" applyFill="1" applyAlignment="1">
      <alignment horizontal="justify" vertical="center" wrapText="1"/>
    </xf>
    <xf numFmtId="42" fontId="58" fillId="18" borderId="2" xfId="1" applyNumberFormat="1" applyFont="1" applyFill="1" applyBorder="1" applyAlignment="1">
      <alignment horizontal="center" vertical="center" wrapText="1"/>
    </xf>
    <xf numFmtId="42" fontId="11" fillId="3" borderId="3" xfId="17" applyNumberFormat="1" applyFont="1" applyFill="1" applyBorder="1" applyAlignment="1">
      <alignment horizontal="right" vertical="center"/>
    </xf>
    <xf numFmtId="42" fontId="58" fillId="18" borderId="2" xfId="0" applyNumberFormat="1" applyFont="1" applyFill="1" applyBorder="1" applyAlignment="1">
      <alignment vertical="center"/>
    </xf>
    <xf numFmtId="0" fontId="35" fillId="0" borderId="51" xfId="3" applyFont="1" applyFill="1" applyBorder="1" applyAlignment="1">
      <alignment horizontal="center" vertical="center"/>
    </xf>
    <xf numFmtId="0" fontId="35" fillId="0" borderId="93" xfId="3" applyFont="1" applyFill="1" applyBorder="1" applyAlignment="1">
      <alignment horizontal="center" vertical="center"/>
    </xf>
    <xf numFmtId="0" fontId="35" fillId="0" borderId="21" xfId="3" applyFont="1" applyBorder="1" applyAlignment="1">
      <alignment horizontal="center"/>
    </xf>
    <xf numFmtId="165" fontId="35" fillId="0" borderId="0" xfId="17" applyFont="1" applyBorder="1" applyAlignment="1">
      <alignment horizontal="center"/>
    </xf>
    <xf numFmtId="0" fontId="35" fillId="0" borderId="0" xfId="3" applyFont="1" applyBorder="1" applyAlignment="1">
      <alignment horizontal="center"/>
    </xf>
    <xf numFmtId="176" fontId="7" fillId="0" borderId="52" xfId="17" applyNumberFormat="1" applyFont="1" applyBorder="1" applyAlignment="1">
      <alignment horizontal="center" vertical="center" wrapText="1"/>
    </xf>
    <xf numFmtId="176" fontId="7" fillId="0" borderId="53" xfId="17" applyNumberFormat="1" applyFont="1" applyBorder="1" applyAlignment="1">
      <alignment horizontal="center" vertical="center" wrapText="1"/>
    </xf>
    <xf numFmtId="176" fontId="7" fillId="0" borderId="54" xfId="17" applyNumberFormat="1" applyFont="1" applyBorder="1" applyAlignment="1">
      <alignment horizontal="center" vertical="center" wrapText="1"/>
    </xf>
    <xf numFmtId="10" fontId="7" fillId="0" borderId="52" xfId="2" applyNumberFormat="1" applyFont="1" applyBorder="1" applyAlignment="1">
      <alignment horizontal="center" vertical="center"/>
    </xf>
    <xf numFmtId="10" fontId="7" fillId="0" borderId="54" xfId="2" applyNumberFormat="1" applyFont="1" applyBorder="1" applyAlignment="1">
      <alignment horizontal="center" vertical="center"/>
    </xf>
    <xf numFmtId="176" fontId="7" fillId="0" borderId="52" xfId="17" applyNumberFormat="1" applyFont="1" applyBorder="1" applyAlignment="1">
      <alignment horizontal="center" vertical="center"/>
    </xf>
    <xf numFmtId="176" fontId="7" fillId="0" borderId="53" xfId="17" applyNumberFormat="1" applyFont="1" applyBorder="1" applyAlignment="1">
      <alignment horizontal="center" vertical="center"/>
    </xf>
    <xf numFmtId="176" fontId="7" fillId="0" borderId="54" xfId="17" applyNumberFormat="1" applyFont="1" applyBorder="1" applyAlignment="1">
      <alignment horizontal="center" vertical="center"/>
    </xf>
    <xf numFmtId="176" fontId="34" fillId="0" borderId="0" xfId="17" applyNumberFormat="1" applyFont="1" applyBorder="1" applyAlignment="1">
      <alignment horizontal="center"/>
    </xf>
    <xf numFmtId="176" fontId="7" fillId="0" borderId="9" xfId="17" applyNumberFormat="1" applyFont="1" applyBorder="1" applyAlignment="1">
      <alignment horizontal="center" vertical="center"/>
    </xf>
    <xf numFmtId="176" fontId="7" fillId="0" borderId="5" xfId="17" applyNumberFormat="1" applyFont="1" applyBorder="1" applyAlignment="1">
      <alignment horizontal="center" vertical="center"/>
    </xf>
    <xf numFmtId="176" fontId="7" fillId="0" borderId="11" xfId="17" applyNumberFormat="1" applyFont="1" applyBorder="1" applyAlignment="1">
      <alignment horizontal="center" vertical="center"/>
    </xf>
    <xf numFmtId="0" fontId="34" fillId="0" borderId="0" xfId="13" applyFont="1" applyBorder="1" applyAlignment="1">
      <alignment horizontal="center"/>
    </xf>
    <xf numFmtId="0" fontId="34" fillId="0" borderId="0" xfId="13" applyFont="1" applyAlignment="1">
      <alignment horizontal="center"/>
    </xf>
    <xf numFmtId="0" fontId="55" fillId="0" borderId="0" xfId="0" applyFont="1" applyAlignment="1">
      <alignment horizontal="center" wrapText="1"/>
    </xf>
    <xf numFmtId="41" fontId="55" fillId="0" borderId="0" xfId="35" applyFont="1" applyAlignment="1">
      <alignment horizontal="center"/>
    </xf>
    <xf numFmtId="0" fontId="52" fillId="14" borderId="101" xfId="39" applyFont="1" applyFill="1" applyBorder="1" applyAlignment="1">
      <alignment horizontal="center" vertical="center"/>
    </xf>
    <xf numFmtId="0" fontId="52" fillId="14" borderId="102" xfId="39" applyFont="1" applyFill="1" applyBorder="1" applyAlignment="1">
      <alignment horizontal="center" vertical="center"/>
    </xf>
    <xf numFmtId="41" fontId="39" fillId="0" borderId="0" xfId="35" applyFont="1" applyAlignment="1">
      <alignment horizontal="center"/>
    </xf>
    <xf numFmtId="2" fontId="40" fillId="15" borderId="38" xfId="4" applyNumberFormat="1" applyFont="1" applyFill="1" applyBorder="1" applyAlignment="1">
      <alignment horizontal="center" vertical="center" wrapText="1"/>
    </xf>
    <xf numFmtId="2" fontId="40" fillId="15" borderId="4" xfId="4" applyNumberFormat="1" applyFont="1" applyFill="1" applyBorder="1" applyAlignment="1">
      <alignment horizontal="center" vertical="center" wrapText="1"/>
    </xf>
    <xf numFmtId="2" fontId="40" fillId="15" borderId="56" xfId="4" applyNumberFormat="1" applyFont="1" applyFill="1" applyBorder="1" applyAlignment="1">
      <alignment horizontal="center" vertical="center" wrapText="1"/>
    </xf>
    <xf numFmtId="2" fontId="40" fillId="15" borderId="34" xfId="4" applyNumberFormat="1" applyFont="1" applyFill="1" applyBorder="1" applyAlignment="1">
      <alignment horizontal="center" vertical="center" wrapText="1"/>
    </xf>
    <xf numFmtId="2" fontId="40" fillId="15" borderId="36" xfId="4"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0" fontId="34" fillId="0" borderId="0" xfId="3" applyFont="1" applyBorder="1" applyAlignment="1">
      <alignment horizontal="center" wrapText="1"/>
    </xf>
    <xf numFmtId="0" fontId="46" fillId="14" borderId="0" xfId="0" applyFont="1" applyFill="1" applyBorder="1" applyAlignment="1">
      <alignment horizontal="left" vertical="center" wrapText="1" readingOrder="1"/>
    </xf>
    <xf numFmtId="0" fontId="5" fillId="0" borderId="0" xfId="0" applyFont="1" applyAlignment="1">
      <alignment horizontal="left" wrapText="1"/>
    </xf>
    <xf numFmtId="0" fontId="4" fillId="0" borderId="0" xfId="3" applyFont="1" applyAlignment="1">
      <alignment horizontal="center"/>
    </xf>
    <xf numFmtId="0" fontId="4" fillId="0" borderId="0" xfId="0" applyFont="1" applyAlignment="1">
      <alignment horizontal="center"/>
    </xf>
    <xf numFmtId="49" fontId="3" fillId="2" borderId="9" xfId="0" applyNumberFormat="1" applyFont="1" applyFill="1" applyBorder="1" applyAlignment="1">
      <alignment horizontal="center" wrapText="1"/>
    </xf>
    <xf numFmtId="49" fontId="3" fillId="2" borderId="5" xfId="0" applyNumberFormat="1" applyFont="1" applyFill="1" applyBorder="1" applyAlignment="1">
      <alignment horizontal="center" wrapText="1"/>
    </xf>
    <xf numFmtId="49" fontId="3" fillId="2" borderId="11" xfId="0" applyNumberFormat="1" applyFont="1" applyFill="1" applyBorder="1" applyAlignment="1">
      <alignment horizontal="center" wrapText="1"/>
    </xf>
    <xf numFmtId="0" fontId="4" fillId="0" borderId="9" xfId="0" applyFont="1" applyFill="1" applyBorder="1" applyAlignment="1">
      <alignment horizontal="center"/>
    </xf>
    <xf numFmtId="0" fontId="4" fillId="0" borderId="5" xfId="0" applyFont="1" applyFill="1" applyBorder="1" applyAlignment="1">
      <alignment horizontal="center"/>
    </xf>
    <xf numFmtId="0" fontId="4" fillId="0" borderId="11" xfId="0" applyFont="1" applyFill="1" applyBorder="1" applyAlignment="1">
      <alignment horizontal="center"/>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10" fontId="19" fillId="0" borderId="34" xfId="2" applyNumberFormat="1" applyFont="1" applyBorder="1" applyAlignment="1">
      <alignment horizontal="center" vertical="center" wrapText="1"/>
    </xf>
    <xf numFmtId="10" fontId="19" fillId="0" borderId="36" xfId="2" applyNumberFormat="1" applyFont="1" applyBorder="1" applyAlignment="1">
      <alignment horizontal="center" vertical="center" wrapText="1"/>
    </xf>
    <xf numFmtId="10" fontId="19" fillId="0" borderId="35" xfId="2" applyNumberFormat="1" applyFont="1" applyBorder="1" applyAlignment="1">
      <alignment horizontal="center" vertical="center" wrapText="1"/>
    </xf>
    <xf numFmtId="10" fontId="19" fillId="0" borderId="37" xfId="2" applyNumberFormat="1" applyFont="1" applyBorder="1" applyAlignment="1">
      <alignment horizontal="center" vertical="center" wrapText="1"/>
    </xf>
    <xf numFmtId="0" fontId="19" fillId="0" borderId="38"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26" fillId="0" borderId="0" xfId="0" applyFont="1" applyFill="1" applyAlignment="1">
      <alignment horizontal="center" vertical="center" wrapText="1"/>
    </xf>
    <xf numFmtId="0" fontId="31" fillId="0" borderId="0" xfId="3" applyFont="1" applyAlignment="1">
      <alignment horizontal="center" vertical="center" wrapText="1"/>
    </xf>
    <xf numFmtId="172" fontId="19" fillId="0" borderId="0" xfId="1"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31" fillId="0" borderId="0" xfId="0" applyFont="1" applyFill="1" applyAlignment="1">
      <alignment horizontal="center" vertical="center" wrapText="1"/>
    </xf>
    <xf numFmtId="9" fontId="20" fillId="3" borderId="0" xfId="2" applyNumberFormat="1" applyFont="1" applyFill="1" applyBorder="1" applyAlignment="1">
      <alignment horizontal="center" vertical="center" wrapText="1"/>
    </xf>
    <xf numFmtId="9" fontId="20" fillId="3"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applyFont="1" applyFill="1" applyAlignment="1">
      <alignment horizontal="left" vertical="center" wrapText="1"/>
    </xf>
    <xf numFmtId="172" fontId="20" fillId="0" borderId="0" xfId="25"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58" fillId="18" borderId="9" xfId="0" applyFont="1" applyFill="1" applyBorder="1" applyAlignment="1">
      <alignment horizontal="center" vertical="center"/>
    </xf>
    <xf numFmtId="0" fontId="58" fillId="18" borderId="5" xfId="0" applyFont="1" applyFill="1" applyBorder="1" applyAlignment="1">
      <alignment horizontal="center" vertical="center"/>
    </xf>
    <xf numFmtId="0" fontId="58" fillId="18" borderId="41" xfId="0" applyFont="1" applyFill="1" applyBorder="1" applyAlignment="1">
      <alignment horizontal="center" vertical="center"/>
    </xf>
    <xf numFmtId="0" fontId="21" fillId="3" borderId="8" xfId="0" applyFont="1" applyFill="1" applyBorder="1" applyAlignment="1">
      <alignment horizontal="center" vertical="center" wrapText="1"/>
    </xf>
    <xf numFmtId="0" fontId="21" fillId="3" borderId="74"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0" borderId="74"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39" fillId="0" borderId="0" xfId="0" applyFont="1" applyFill="1" applyAlignment="1">
      <alignment horizontal="center" vertical="center" wrapText="1"/>
    </xf>
    <xf numFmtId="0" fontId="21" fillId="3" borderId="3" xfId="0" applyFont="1" applyFill="1" applyBorder="1" applyAlignment="1">
      <alignment horizontal="center" vertical="center" wrapText="1"/>
    </xf>
    <xf numFmtId="0" fontId="21" fillId="3" borderId="108" xfId="0" applyFont="1" applyFill="1" applyBorder="1" applyAlignment="1">
      <alignment horizontal="center" vertical="center" wrapText="1"/>
    </xf>
    <xf numFmtId="0" fontId="21" fillId="3" borderId="75" xfId="0" applyFont="1" applyFill="1" applyBorder="1" applyAlignment="1">
      <alignment horizontal="center" vertical="center" wrapText="1"/>
    </xf>
    <xf numFmtId="0" fontId="21" fillId="3" borderId="89" xfId="0" applyFont="1" applyFill="1" applyBorder="1" applyAlignment="1">
      <alignment horizontal="center" vertical="center" wrapText="1"/>
    </xf>
  </cellXfs>
  <cellStyles count="475">
    <cellStyle name="20% - Énfasis6" xfId="12" builtinId="50"/>
    <cellStyle name="40% - Énfasis4" xfId="9" builtinId="43"/>
    <cellStyle name="40% - Énfasis5" xfId="10" builtinId="47"/>
    <cellStyle name="Énfasis6" xfId="11" builtinId="49"/>
    <cellStyle name="Hipervínculo" xfId="18" builtinId="8"/>
    <cellStyle name="Millares" xfId="17" builtinId="3"/>
    <cellStyle name="Millares [0] 2" xfId="35" xr:uid="{00000000-0005-0000-0000-000006000000}"/>
    <cellStyle name="Millares 10" xfId="44" xr:uid="{00000000-0005-0000-0000-000007000000}"/>
    <cellStyle name="Millares 10 2" xfId="98" xr:uid="{00000000-0005-0000-0000-000008000000}"/>
    <cellStyle name="Millares 10 2 2" xfId="324" xr:uid="{00000000-0005-0000-0000-000008000000}"/>
    <cellStyle name="Millares 10 3" xfId="154" xr:uid="{00000000-0005-0000-0000-000009000000}"/>
    <cellStyle name="Millares 10 3 2" xfId="380" xr:uid="{00000000-0005-0000-0000-000009000000}"/>
    <cellStyle name="Millares 10 4" xfId="208" xr:uid="{00000000-0005-0000-0000-00000A000000}"/>
    <cellStyle name="Millares 10 4 2" xfId="434" xr:uid="{00000000-0005-0000-0000-00000A000000}"/>
    <cellStyle name="Millares 10 5" xfId="270" xr:uid="{00000000-0005-0000-0000-000007000000}"/>
    <cellStyle name="Millares 11" xfId="48" xr:uid="{00000000-0005-0000-0000-00000B000000}"/>
    <cellStyle name="Millares 11 2" xfId="102" xr:uid="{00000000-0005-0000-0000-00000C000000}"/>
    <cellStyle name="Millares 11 2 2" xfId="328" xr:uid="{00000000-0005-0000-0000-00000C000000}"/>
    <cellStyle name="Millares 11 3" xfId="158" xr:uid="{00000000-0005-0000-0000-00000D000000}"/>
    <cellStyle name="Millares 11 3 2" xfId="384" xr:uid="{00000000-0005-0000-0000-00000D000000}"/>
    <cellStyle name="Millares 11 4" xfId="212" xr:uid="{00000000-0005-0000-0000-00000E000000}"/>
    <cellStyle name="Millares 11 4 2" xfId="438" xr:uid="{00000000-0005-0000-0000-00000E000000}"/>
    <cellStyle name="Millares 11 5" xfId="274" xr:uid="{00000000-0005-0000-0000-00000B000000}"/>
    <cellStyle name="Millares 12" xfId="60" xr:uid="{00000000-0005-0000-0000-00000F000000}"/>
    <cellStyle name="Millares 12 2" xfId="114" xr:uid="{00000000-0005-0000-0000-000010000000}"/>
    <cellStyle name="Millares 12 2 2" xfId="340" xr:uid="{00000000-0005-0000-0000-000010000000}"/>
    <cellStyle name="Millares 12 3" xfId="170" xr:uid="{00000000-0005-0000-0000-000011000000}"/>
    <cellStyle name="Millares 12 3 2" xfId="396" xr:uid="{00000000-0005-0000-0000-000011000000}"/>
    <cellStyle name="Millares 12 4" xfId="224" xr:uid="{00000000-0005-0000-0000-000012000000}"/>
    <cellStyle name="Millares 12 4 2" xfId="450" xr:uid="{00000000-0005-0000-0000-000012000000}"/>
    <cellStyle name="Millares 12 5" xfId="286" xr:uid="{00000000-0005-0000-0000-00000F000000}"/>
    <cellStyle name="Millares 13" xfId="45" xr:uid="{00000000-0005-0000-0000-000013000000}"/>
    <cellStyle name="Millares 13 2" xfId="99" xr:uid="{00000000-0005-0000-0000-000014000000}"/>
    <cellStyle name="Millares 13 2 2" xfId="325" xr:uid="{00000000-0005-0000-0000-000014000000}"/>
    <cellStyle name="Millares 13 3" xfId="155" xr:uid="{00000000-0005-0000-0000-000015000000}"/>
    <cellStyle name="Millares 13 3 2" xfId="381" xr:uid="{00000000-0005-0000-0000-000015000000}"/>
    <cellStyle name="Millares 13 4" xfId="209" xr:uid="{00000000-0005-0000-0000-000016000000}"/>
    <cellStyle name="Millares 13 4 2" xfId="435" xr:uid="{00000000-0005-0000-0000-000016000000}"/>
    <cellStyle name="Millares 13 5" xfId="271" xr:uid="{00000000-0005-0000-0000-000013000000}"/>
    <cellStyle name="Millares 14" xfId="61" xr:uid="{00000000-0005-0000-0000-000017000000}"/>
    <cellStyle name="Millares 14 2" xfId="115" xr:uid="{00000000-0005-0000-0000-000018000000}"/>
    <cellStyle name="Millares 14 2 2" xfId="341" xr:uid="{00000000-0005-0000-0000-000018000000}"/>
    <cellStyle name="Millares 14 3" xfId="171" xr:uid="{00000000-0005-0000-0000-000019000000}"/>
    <cellStyle name="Millares 14 3 2" xfId="397" xr:uid="{00000000-0005-0000-0000-000019000000}"/>
    <cellStyle name="Millares 14 4" xfId="225" xr:uid="{00000000-0005-0000-0000-00001A000000}"/>
    <cellStyle name="Millares 14 4 2" xfId="451" xr:uid="{00000000-0005-0000-0000-00001A000000}"/>
    <cellStyle name="Millares 14 5" xfId="287" xr:uid="{00000000-0005-0000-0000-000017000000}"/>
    <cellStyle name="Millares 15" xfId="58" xr:uid="{00000000-0005-0000-0000-00001B000000}"/>
    <cellStyle name="Millares 15 2" xfId="112" xr:uid="{00000000-0005-0000-0000-00001C000000}"/>
    <cellStyle name="Millares 15 2 2" xfId="338" xr:uid="{00000000-0005-0000-0000-00001C000000}"/>
    <cellStyle name="Millares 15 3" xfId="168" xr:uid="{00000000-0005-0000-0000-00001D000000}"/>
    <cellStyle name="Millares 15 3 2" xfId="394" xr:uid="{00000000-0005-0000-0000-00001D000000}"/>
    <cellStyle name="Millares 15 4" xfId="222" xr:uid="{00000000-0005-0000-0000-00001E000000}"/>
    <cellStyle name="Millares 15 4 2" xfId="448" xr:uid="{00000000-0005-0000-0000-00001E000000}"/>
    <cellStyle name="Millares 15 5" xfId="284" xr:uid="{00000000-0005-0000-0000-00001B000000}"/>
    <cellStyle name="Millares 16" xfId="62" xr:uid="{00000000-0005-0000-0000-00001F000000}"/>
    <cellStyle name="Millares 16 2" xfId="116" xr:uid="{00000000-0005-0000-0000-000020000000}"/>
    <cellStyle name="Millares 16 2 2" xfId="342" xr:uid="{00000000-0005-0000-0000-000020000000}"/>
    <cellStyle name="Millares 16 3" xfId="172" xr:uid="{00000000-0005-0000-0000-000021000000}"/>
    <cellStyle name="Millares 16 3 2" xfId="398" xr:uid="{00000000-0005-0000-0000-000021000000}"/>
    <cellStyle name="Millares 16 4" xfId="226" xr:uid="{00000000-0005-0000-0000-000022000000}"/>
    <cellStyle name="Millares 16 4 2" xfId="452" xr:uid="{00000000-0005-0000-0000-000022000000}"/>
    <cellStyle name="Millares 16 5" xfId="288" xr:uid="{00000000-0005-0000-0000-00001F000000}"/>
    <cellStyle name="Millares 17" xfId="67" xr:uid="{00000000-0005-0000-0000-000023000000}"/>
    <cellStyle name="Millares 17 2" xfId="121" xr:uid="{00000000-0005-0000-0000-000024000000}"/>
    <cellStyle name="Millares 17 2 2" xfId="347" xr:uid="{00000000-0005-0000-0000-000024000000}"/>
    <cellStyle name="Millares 17 3" xfId="177" xr:uid="{00000000-0005-0000-0000-000025000000}"/>
    <cellStyle name="Millares 17 3 2" xfId="403" xr:uid="{00000000-0005-0000-0000-000025000000}"/>
    <cellStyle name="Millares 17 4" xfId="231" xr:uid="{00000000-0005-0000-0000-000026000000}"/>
    <cellStyle name="Millares 17 4 2" xfId="457" xr:uid="{00000000-0005-0000-0000-000026000000}"/>
    <cellStyle name="Millares 17 5" xfId="293" xr:uid="{00000000-0005-0000-0000-000023000000}"/>
    <cellStyle name="Millares 18" xfId="79" xr:uid="{00000000-0005-0000-0000-000027000000}"/>
    <cellStyle name="Millares 18 2" xfId="133" xr:uid="{00000000-0005-0000-0000-000028000000}"/>
    <cellStyle name="Millares 18 2 2" xfId="359" xr:uid="{00000000-0005-0000-0000-000028000000}"/>
    <cellStyle name="Millares 18 3" xfId="189" xr:uid="{00000000-0005-0000-0000-000029000000}"/>
    <cellStyle name="Millares 18 3 2" xfId="415" xr:uid="{00000000-0005-0000-0000-000029000000}"/>
    <cellStyle name="Millares 18 4" xfId="243" xr:uid="{00000000-0005-0000-0000-00002A000000}"/>
    <cellStyle name="Millares 18 4 2" xfId="469" xr:uid="{00000000-0005-0000-0000-00002A000000}"/>
    <cellStyle name="Millares 18 5" xfId="305" xr:uid="{00000000-0005-0000-0000-000027000000}"/>
    <cellStyle name="Millares 19" xfId="64" xr:uid="{00000000-0005-0000-0000-00002B000000}"/>
    <cellStyle name="Millares 19 2" xfId="118" xr:uid="{00000000-0005-0000-0000-00002C000000}"/>
    <cellStyle name="Millares 19 2 2" xfId="344" xr:uid="{00000000-0005-0000-0000-00002C000000}"/>
    <cellStyle name="Millares 19 3" xfId="174" xr:uid="{00000000-0005-0000-0000-00002D000000}"/>
    <cellStyle name="Millares 19 3 2" xfId="400" xr:uid="{00000000-0005-0000-0000-00002D000000}"/>
    <cellStyle name="Millares 19 4" xfId="228" xr:uid="{00000000-0005-0000-0000-00002E000000}"/>
    <cellStyle name="Millares 19 4 2" xfId="454" xr:uid="{00000000-0005-0000-0000-00002E000000}"/>
    <cellStyle name="Millares 19 5" xfId="290" xr:uid="{00000000-0005-0000-0000-00002B000000}"/>
    <cellStyle name="Millares 2" xfId="4" xr:uid="{00000000-0005-0000-0000-00002F000000}"/>
    <cellStyle name="Millares 2 2" xfId="40" xr:uid="{00000000-0005-0000-0000-000030000000}"/>
    <cellStyle name="Millares 2 2 2" xfId="63" xr:uid="{00000000-0005-0000-0000-000031000000}"/>
    <cellStyle name="Millares 2 2 2 2" xfId="117" xr:uid="{00000000-0005-0000-0000-000032000000}"/>
    <cellStyle name="Millares 2 2 2 2 2" xfId="343" xr:uid="{00000000-0005-0000-0000-000032000000}"/>
    <cellStyle name="Millares 2 2 2 3" xfId="173" xr:uid="{00000000-0005-0000-0000-000033000000}"/>
    <cellStyle name="Millares 2 2 2 3 2" xfId="399" xr:uid="{00000000-0005-0000-0000-000033000000}"/>
    <cellStyle name="Millares 2 2 2 4" xfId="227" xr:uid="{00000000-0005-0000-0000-000034000000}"/>
    <cellStyle name="Millares 2 2 2 4 2" xfId="453" xr:uid="{00000000-0005-0000-0000-000034000000}"/>
    <cellStyle name="Millares 2 2 2 5" xfId="289" xr:uid="{00000000-0005-0000-0000-000031000000}"/>
    <cellStyle name="Millares 2 2 3" xfId="268" xr:uid="{00000000-0005-0000-0000-000030000000}"/>
    <cellStyle name="Millares 2 3" xfId="43" xr:uid="{00000000-0005-0000-0000-000035000000}"/>
    <cellStyle name="Millares 2 3 2" xfId="97" xr:uid="{00000000-0005-0000-0000-000036000000}"/>
    <cellStyle name="Millares 2 3 2 2" xfId="323" xr:uid="{00000000-0005-0000-0000-000036000000}"/>
    <cellStyle name="Millares 2 3 3" xfId="153" xr:uid="{00000000-0005-0000-0000-000037000000}"/>
    <cellStyle name="Millares 2 3 3 2" xfId="379" xr:uid="{00000000-0005-0000-0000-000037000000}"/>
    <cellStyle name="Millares 2 3 4" xfId="207" xr:uid="{00000000-0005-0000-0000-000038000000}"/>
    <cellStyle name="Millares 2 3 4 2" xfId="433" xr:uid="{00000000-0005-0000-0000-000038000000}"/>
    <cellStyle name="Millares 2 3 5" xfId="269" xr:uid="{00000000-0005-0000-0000-000035000000}"/>
    <cellStyle name="Millares 2 4" xfId="247" xr:uid="{00000000-0005-0000-0000-000039000000}"/>
    <cellStyle name="Millares 2 5" xfId="252" xr:uid="{00000000-0005-0000-0000-00002F000000}"/>
    <cellStyle name="Millares 20" xfId="65" xr:uid="{00000000-0005-0000-0000-00003A000000}"/>
    <cellStyle name="Millares 20 2" xfId="119" xr:uid="{00000000-0005-0000-0000-00003B000000}"/>
    <cellStyle name="Millares 20 2 2" xfId="345" xr:uid="{00000000-0005-0000-0000-00003B000000}"/>
    <cellStyle name="Millares 20 3" xfId="175" xr:uid="{00000000-0005-0000-0000-00003C000000}"/>
    <cellStyle name="Millares 20 3 2" xfId="401" xr:uid="{00000000-0005-0000-0000-00003C000000}"/>
    <cellStyle name="Millares 20 4" xfId="229" xr:uid="{00000000-0005-0000-0000-00003D000000}"/>
    <cellStyle name="Millares 20 4 2" xfId="455" xr:uid="{00000000-0005-0000-0000-00003D000000}"/>
    <cellStyle name="Millares 20 5" xfId="291" xr:uid="{00000000-0005-0000-0000-00003A000000}"/>
    <cellStyle name="Millares 21" xfId="81" xr:uid="{00000000-0005-0000-0000-00003E000000}"/>
    <cellStyle name="Millares 21 2" xfId="135" xr:uid="{00000000-0005-0000-0000-00003F000000}"/>
    <cellStyle name="Millares 21 2 2" xfId="361" xr:uid="{00000000-0005-0000-0000-00003F000000}"/>
    <cellStyle name="Millares 21 3" xfId="191" xr:uid="{00000000-0005-0000-0000-000040000000}"/>
    <cellStyle name="Millares 21 3 2" xfId="417" xr:uid="{00000000-0005-0000-0000-000040000000}"/>
    <cellStyle name="Millares 21 4" xfId="245" xr:uid="{00000000-0005-0000-0000-000041000000}"/>
    <cellStyle name="Millares 21 4 2" xfId="471" xr:uid="{00000000-0005-0000-0000-000041000000}"/>
    <cellStyle name="Millares 21 5" xfId="307" xr:uid="{00000000-0005-0000-0000-00003E000000}"/>
    <cellStyle name="Millares 22" xfId="80" xr:uid="{00000000-0005-0000-0000-000042000000}"/>
    <cellStyle name="Millares 22 2" xfId="134" xr:uid="{00000000-0005-0000-0000-000043000000}"/>
    <cellStyle name="Millares 22 2 2" xfId="360" xr:uid="{00000000-0005-0000-0000-000043000000}"/>
    <cellStyle name="Millares 22 3" xfId="190" xr:uid="{00000000-0005-0000-0000-000044000000}"/>
    <cellStyle name="Millares 22 3 2" xfId="416" xr:uid="{00000000-0005-0000-0000-000044000000}"/>
    <cellStyle name="Millares 22 4" xfId="244" xr:uid="{00000000-0005-0000-0000-000045000000}"/>
    <cellStyle name="Millares 22 4 2" xfId="470" xr:uid="{00000000-0005-0000-0000-000045000000}"/>
    <cellStyle name="Millares 22 5" xfId="306" xr:uid="{00000000-0005-0000-0000-000042000000}"/>
    <cellStyle name="Millares 23" xfId="66" xr:uid="{00000000-0005-0000-0000-000046000000}"/>
    <cellStyle name="Millares 23 2" xfId="120" xr:uid="{00000000-0005-0000-0000-000047000000}"/>
    <cellStyle name="Millares 23 2 2" xfId="346" xr:uid="{00000000-0005-0000-0000-000047000000}"/>
    <cellStyle name="Millares 23 3" xfId="176" xr:uid="{00000000-0005-0000-0000-000048000000}"/>
    <cellStyle name="Millares 23 3 2" xfId="402" xr:uid="{00000000-0005-0000-0000-000048000000}"/>
    <cellStyle name="Millares 23 4" xfId="230" xr:uid="{00000000-0005-0000-0000-000049000000}"/>
    <cellStyle name="Millares 23 4 2" xfId="456" xr:uid="{00000000-0005-0000-0000-000049000000}"/>
    <cellStyle name="Millares 23 5" xfId="292" xr:uid="{00000000-0005-0000-0000-000046000000}"/>
    <cellStyle name="Millares 24" xfId="84" xr:uid="{00000000-0005-0000-0000-00004A000000}"/>
    <cellStyle name="Millares 24 2" xfId="310" xr:uid="{00000000-0005-0000-0000-00004A000000}"/>
    <cellStyle name="Millares 25" xfId="96" xr:uid="{00000000-0005-0000-0000-00004B000000}"/>
    <cellStyle name="Millares 25 2" xfId="322" xr:uid="{00000000-0005-0000-0000-00004B000000}"/>
    <cellStyle name="Millares 26" xfId="139" xr:uid="{00000000-0005-0000-0000-00004C000000}"/>
    <cellStyle name="Millares 26 2" xfId="365" xr:uid="{00000000-0005-0000-0000-00004C000000}"/>
    <cellStyle name="Millares 27" xfId="136" xr:uid="{00000000-0005-0000-0000-00004D000000}"/>
    <cellStyle name="Millares 27 2" xfId="362" xr:uid="{00000000-0005-0000-0000-00004D000000}"/>
    <cellStyle name="Millares 28" xfId="138" xr:uid="{00000000-0005-0000-0000-00004E000000}"/>
    <cellStyle name="Millares 28 2" xfId="364" xr:uid="{00000000-0005-0000-0000-00004E000000}"/>
    <cellStyle name="Millares 29" xfId="140" xr:uid="{00000000-0005-0000-0000-00004F000000}"/>
    <cellStyle name="Millares 29 2" xfId="366" xr:uid="{00000000-0005-0000-0000-00004F000000}"/>
    <cellStyle name="Millares 3" xfId="16" xr:uid="{00000000-0005-0000-0000-000050000000}"/>
    <cellStyle name="Millares 3 2" xfId="22" xr:uid="{00000000-0005-0000-0000-000051000000}"/>
    <cellStyle name="Millares 30" xfId="152" xr:uid="{00000000-0005-0000-0000-000052000000}"/>
    <cellStyle name="Millares 30 2" xfId="378" xr:uid="{00000000-0005-0000-0000-000052000000}"/>
    <cellStyle name="Millares 31" xfId="192" xr:uid="{00000000-0005-0000-0000-000053000000}"/>
    <cellStyle name="Millares 31 2" xfId="418" xr:uid="{00000000-0005-0000-0000-000053000000}"/>
    <cellStyle name="Millares 32" xfId="82" xr:uid="{00000000-0005-0000-0000-000054000000}"/>
    <cellStyle name="Millares 32 2" xfId="308" xr:uid="{00000000-0005-0000-0000-000054000000}"/>
    <cellStyle name="Millares 33" xfId="137" xr:uid="{00000000-0005-0000-0000-000055000000}"/>
    <cellStyle name="Millares 33 2" xfId="363" xr:uid="{00000000-0005-0000-0000-000055000000}"/>
    <cellStyle name="Millares 34" xfId="83" xr:uid="{00000000-0005-0000-0000-000056000000}"/>
    <cellStyle name="Millares 34 2" xfId="309" xr:uid="{00000000-0005-0000-0000-000056000000}"/>
    <cellStyle name="Millares 35" xfId="193" xr:uid="{00000000-0005-0000-0000-000057000000}"/>
    <cellStyle name="Millares 35 2" xfId="419" xr:uid="{00000000-0005-0000-0000-000057000000}"/>
    <cellStyle name="Millares 36" xfId="194" xr:uid="{00000000-0005-0000-0000-000058000000}"/>
    <cellStyle name="Millares 36 2" xfId="420" xr:uid="{00000000-0005-0000-0000-000058000000}"/>
    <cellStyle name="Millares 37" xfId="195" xr:uid="{00000000-0005-0000-0000-000059000000}"/>
    <cellStyle name="Millares 37 2" xfId="421" xr:uid="{00000000-0005-0000-0000-000059000000}"/>
    <cellStyle name="Millares 38" xfId="248" xr:uid="{00000000-0005-0000-0000-000020010000}"/>
    <cellStyle name="Millares 39" xfId="256" xr:uid="{00000000-0005-0000-0000-000034000000}"/>
    <cellStyle name="Millares 4" xfId="23" xr:uid="{00000000-0005-0000-0000-00005A000000}"/>
    <cellStyle name="Millares 4 2" xfId="28" xr:uid="{00000000-0005-0000-0000-00005B000000}"/>
    <cellStyle name="Millares 4 2 2" xfId="51" xr:uid="{00000000-0005-0000-0000-00005C000000}"/>
    <cellStyle name="Millares 4 2 2 2" xfId="105" xr:uid="{00000000-0005-0000-0000-00005D000000}"/>
    <cellStyle name="Millares 4 2 2 2 2" xfId="331" xr:uid="{00000000-0005-0000-0000-00005D000000}"/>
    <cellStyle name="Millares 4 2 2 3" xfId="161" xr:uid="{00000000-0005-0000-0000-00005E000000}"/>
    <cellStyle name="Millares 4 2 2 3 2" xfId="387" xr:uid="{00000000-0005-0000-0000-00005E000000}"/>
    <cellStyle name="Millares 4 2 2 4" xfId="215" xr:uid="{00000000-0005-0000-0000-00005F000000}"/>
    <cellStyle name="Millares 4 2 2 4 2" xfId="441" xr:uid="{00000000-0005-0000-0000-00005F000000}"/>
    <cellStyle name="Millares 4 2 2 5" xfId="277" xr:uid="{00000000-0005-0000-0000-00005C000000}"/>
    <cellStyle name="Millares 4 2 3" xfId="72" xr:uid="{00000000-0005-0000-0000-000060000000}"/>
    <cellStyle name="Millares 4 2 3 2" xfId="126" xr:uid="{00000000-0005-0000-0000-000061000000}"/>
    <cellStyle name="Millares 4 2 3 2 2" xfId="352" xr:uid="{00000000-0005-0000-0000-000061000000}"/>
    <cellStyle name="Millares 4 2 3 3" xfId="182" xr:uid="{00000000-0005-0000-0000-000062000000}"/>
    <cellStyle name="Millares 4 2 3 3 2" xfId="408" xr:uid="{00000000-0005-0000-0000-000062000000}"/>
    <cellStyle name="Millares 4 2 3 4" xfId="236" xr:uid="{00000000-0005-0000-0000-000063000000}"/>
    <cellStyle name="Millares 4 2 3 4 2" xfId="462" xr:uid="{00000000-0005-0000-0000-000063000000}"/>
    <cellStyle name="Millares 4 2 3 5" xfId="298" xr:uid="{00000000-0005-0000-0000-000060000000}"/>
    <cellStyle name="Millares 4 2 4" xfId="89" xr:uid="{00000000-0005-0000-0000-000064000000}"/>
    <cellStyle name="Millares 4 2 4 2" xfId="315" xr:uid="{00000000-0005-0000-0000-000064000000}"/>
    <cellStyle name="Millares 4 2 5" xfId="145" xr:uid="{00000000-0005-0000-0000-000065000000}"/>
    <cellStyle name="Millares 4 2 5 2" xfId="371" xr:uid="{00000000-0005-0000-0000-000065000000}"/>
    <cellStyle name="Millares 4 2 6" xfId="200" xr:uid="{00000000-0005-0000-0000-000066000000}"/>
    <cellStyle name="Millares 4 2 6 2" xfId="426" xr:uid="{00000000-0005-0000-0000-000066000000}"/>
    <cellStyle name="Millares 4 2 7" xfId="261" xr:uid="{00000000-0005-0000-0000-00005B000000}"/>
    <cellStyle name="Millares 4 3" xfId="32" xr:uid="{00000000-0005-0000-0000-000067000000}"/>
    <cellStyle name="Millares 4 3 2" xfId="55" xr:uid="{00000000-0005-0000-0000-000068000000}"/>
    <cellStyle name="Millares 4 3 2 2" xfId="109" xr:uid="{00000000-0005-0000-0000-000069000000}"/>
    <cellStyle name="Millares 4 3 2 2 2" xfId="335" xr:uid="{00000000-0005-0000-0000-000069000000}"/>
    <cellStyle name="Millares 4 3 2 3" xfId="165" xr:uid="{00000000-0005-0000-0000-00006A000000}"/>
    <cellStyle name="Millares 4 3 2 3 2" xfId="391" xr:uid="{00000000-0005-0000-0000-00006A000000}"/>
    <cellStyle name="Millares 4 3 2 4" xfId="219" xr:uid="{00000000-0005-0000-0000-00006B000000}"/>
    <cellStyle name="Millares 4 3 2 4 2" xfId="445" xr:uid="{00000000-0005-0000-0000-00006B000000}"/>
    <cellStyle name="Millares 4 3 2 5" xfId="281" xr:uid="{00000000-0005-0000-0000-000068000000}"/>
    <cellStyle name="Millares 4 3 3" xfId="76" xr:uid="{00000000-0005-0000-0000-00006C000000}"/>
    <cellStyle name="Millares 4 3 3 2" xfId="130" xr:uid="{00000000-0005-0000-0000-00006D000000}"/>
    <cellStyle name="Millares 4 3 3 2 2" xfId="356" xr:uid="{00000000-0005-0000-0000-00006D000000}"/>
    <cellStyle name="Millares 4 3 3 3" xfId="186" xr:uid="{00000000-0005-0000-0000-00006E000000}"/>
    <cellStyle name="Millares 4 3 3 3 2" xfId="412" xr:uid="{00000000-0005-0000-0000-00006E000000}"/>
    <cellStyle name="Millares 4 3 3 4" xfId="240" xr:uid="{00000000-0005-0000-0000-00006F000000}"/>
    <cellStyle name="Millares 4 3 3 4 2" xfId="466" xr:uid="{00000000-0005-0000-0000-00006F000000}"/>
    <cellStyle name="Millares 4 3 3 5" xfId="302" xr:uid="{00000000-0005-0000-0000-00006C000000}"/>
    <cellStyle name="Millares 4 3 4" xfId="93" xr:uid="{00000000-0005-0000-0000-000070000000}"/>
    <cellStyle name="Millares 4 3 4 2" xfId="319" xr:uid="{00000000-0005-0000-0000-000070000000}"/>
    <cellStyle name="Millares 4 3 5" xfId="149" xr:uid="{00000000-0005-0000-0000-000071000000}"/>
    <cellStyle name="Millares 4 3 5 2" xfId="375" xr:uid="{00000000-0005-0000-0000-000071000000}"/>
    <cellStyle name="Millares 4 3 6" xfId="204" xr:uid="{00000000-0005-0000-0000-000072000000}"/>
    <cellStyle name="Millares 4 3 6 2" xfId="430" xr:uid="{00000000-0005-0000-0000-000072000000}"/>
    <cellStyle name="Millares 4 3 7" xfId="265" xr:uid="{00000000-0005-0000-0000-000067000000}"/>
    <cellStyle name="Millares 4 4" xfId="46" xr:uid="{00000000-0005-0000-0000-000073000000}"/>
    <cellStyle name="Millares 4 4 2" xfId="100" xr:uid="{00000000-0005-0000-0000-000074000000}"/>
    <cellStyle name="Millares 4 4 2 2" xfId="326" xr:uid="{00000000-0005-0000-0000-000074000000}"/>
    <cellStyle name="Millares 4 4 3" xfId="156" xr:uid="{00000000-0005-0000-0000-000075000000}"/>
    <cellStyle name="Millares 4 4 3 2" xfId="382" xr:uid="{00000000-0005-0000-0000-000075000000}"/>
    <cellStyle name="Millares 4 4 4" xfId="210" xr:uid="{00000000-0005-0000-0000-000076000000}"/>
    <cellStyle name="Millares 4 4 4 2" xfId="436" xr:uid="{00000000-0005-0000-0000-000076000000}"/>
    <cellStyle name="Millares 4 4 5" xfId="272" xr:uid="{00000000-0005-0000-0000-000073000000}"/>
    <cellStyle name="Millares 4 5" xfId="68" xr:uid="{00000000-0005-0000-0000-000077000000}"/>
    <cellStyle name="Millares 4 5 2" xfId="122" xr:uid="{00000000-0005-0000-0000-000078000000}"/>
    <cellStyle name="Millares 4 5 2 2" xfId="348" xr:uid="{00000000-0005-0000-0000-000078000000}"/>
    <cellStyle name="Millares 4 5 3" xfId="178" xr:uid="{00000000-0005-0000-0000-000079000000}"/>
    <cellStyle name="Millares 4 5 3 2" xfId="404" xr:uid="{00000000-0005-0000-0000-000079000000}"/>
    <cellStyle name="Millares 4 5 4" xfId="232" xr:uid="{00000000-0005-0000-0000-00007A000000}"/>
    <cellStyle name="Millares 4 5 4 2" xfId="458" xr:uid="{00000000-0005-0000-0000-00007A000000}"/>
    <cellStyle name="Millares 4 5 5" xfId="294" xr:uid="{00000000-0005-0000-0000-000077000000}"/>
    <cellStyle name="Millares 4 6" xfId="85" xr:uid="{00000000-0005-0000-0000-00007B000000}"/>
    <cellStyle name="Millares 4 6 2" xfId="311" xr:uid="{00000000-0005-0000-0000-00007B000000}"/>
    <cellStyle name="Millares 4 7" xfId="141" xr:uid="{00000000-0005-0000-0000-00007C000000}"/>
    <cellStyle name="Millares 4 7 2" xfId="367" xr:uid="{00000000-0005-0000-0000-00007C000000}"/>
    <cellStyle name="Millares 4 8" xfId="196" xr:uid="{00000000-0005-0000-0000-00007D000000}"/>
    <cellStyle name="Millares 4 8 2" xfId="422" xr:uid="{00000000-0005-0000-0000-00007D000000}"/>
    <cellStyle name="Millares 4 9" xfId="257" xr:uid="{00000000-0005-0000-0000-00005A000000}"/>
    <cellStyle name="Millares 40" xfId="473" xr:uid="{00000000-0005-0000-0000-000026010000}"/>
    <cellStyle name="Millares 41" xfId="249" xr:uid="{00000000-0005-0000-0000-000021010000}"/>
    <cellStyle name="Millares 42" xfId="255" xr:uid="{00000000-0005-0000-0000-000001020000}"/>
    <cellStyle name="Millares 43" xfId="474" xr:uid="{00000000-0005-0000-0000-000002020000}"/>
    <cellStyle name="Millares 5" xfId="24" xr:uid="{00000000-0005-0000-0000-00007E000000}"/>
    <cellStyle name="Millares 5 2" xfId="29" xr:uid="{00000000-0005-0000-0000-00007F000000}"/>
    <cellStyle name="Millares 5 2 2" xfId="52" xr:uid="{00000000-0005-0000-0000-000080000000}"/>
    <cellStyle name="Millares 5 2 2 2" xfId="106" xr:uid="{00000000-0005-0000-0000-000081000000}"/>
    <cellStyle name="Millares 5 2 2 2 2" xfId="332" xr:uid="{00000000-0005-0000-0000-000081000000}"/>
    <cellStyle name="Millares 5 2 2 3" xfId="162" xr:uid="{00000000-0005-0000-0000-000082000000}"/>
    <cellStyle name="Millares 5 2 2 3 2" xfId="388" xr:uid="{00000000-0005-0000-0000-000082000000}"/>
    <cellStyle name="Millares 5 2 2 4" xfId="216" xr:uid="{00000000-0005-0000-0000-000083000000}"/>
    <cellStyle name="Millares 5 2 2 4 2" xfId="442" xr:uid="{00000000-0005-0000-0000-000083000000}"/>
    <cellStyle name="Millares 5 2 2 5" xfId="278" xr:uid="{00000000-0005-0000-0000-000080000000}"/>
    <cellStyle name="Millares 5 2 3" xfId="73" xr:uid="{00000000-0005-0000-0000-000084000000}"/>
    <cellStyle name="Millares 5 2 3 2" xfId="127" xr:uid="{00000000-0005-0000-0000-000085000000}"/>
    <cellStyle name="Millares 5 2 3 2 2" xfId="353" xr:uid="{00000000-0005-0000-0000-000085000000}"/>
    <cellStyle name="Millares 5 2 3 3" xfId="183" xr:uid="{00000000-0005-0000-0000-000086000000}"/>
    <cellStyle name="Millares 5 2 3 3 2" xfId="409" xr:uid="{00000000-0005-0000-0000-000086000000}"/>
    <cellStyle name="Millares 5 2 3 4" xfId="237" xr:uid="{00000000-0005-0000-0000-000087000000}"/>
    <cellStyle name="Millares 5 2 3 4 2" xfId="463" xr:uid="{00000000-0005-0000-0000-000087000000}"/>
    <cellStyle name="Millares 5 2 3 5" xfId="299" xr:uid="{00000000-0005-0000-0000-000084000000}"/>
    <cellStyle name="Millares 5 2 4" xfId="90" xr:uid="{00000000-0005-0000-0000-000088000000}"/>
    <cellStyle name="Millares 5 2 4 2" xfId="316" xr:uid="{00000000-0005-0000-0000-000088000000}"/>
    <cellStyle name="Millares 5 2 5" xfId="146" xr:uid="{00000000-0005-0000-0000-000089000000}"/>
    <cellStyle name="Millares 5 2 5 2" xfId="372" xr:uid="{00000000-0005-0000-0000-000089000000}"/>
    <cellStyle name="Millares 5 2 6" xfId="201" xr:uid="{00000000-0005-0000-0000-00008A000000}"/>
    <cellStyle name="Millares 5 2 6 2" xfId="427" xr:uid="{00000000-0005-0000-0000-00008A000000}"/>
    <cellStyle name="Millares 5 2 7" xfId="262" xr:uid="{00000000-0005-0000-0000-00007F000000}"/>
    <cellStyle name="Millares 5 3" xfId="33" xr:uid="{00000000-0005-0000-0000-00008B000000}"/>
    <cellStyle name="Millares 5 3 2" xfId="56" xr:uid="{00000000-0005-0000-0000-00008C000000}"/>
    <cellStyle name="Millares 5 3 2 2" xfId="110" xr:uid="{00000000-0005-0000-0000-00008D000000}"/>
    <cellStyle name="Millares 5 3 2 2 2" xfId="336" xr:uid="{00000000-0005-0000-0000-00008D000000}"/>
    <cellStyle name="Millares 5 3 2 3" xfId="166" xr:uid="{00000000-0005-0000-0000-00008E000000}"/>
    <cellStyle name="Millares 5 3 2 3 2" xfId="392" xr:uid="{00000000-0005-0000-0000-00008E000000}"/>
    <cellStyle name="Millares 5 3 2 4" xfId="220" xr:uid="{00000000-0005-0000-0000-00008F000000}"/>
    <cellStyle name="Millares 5 3 2 4 2" xfId="446" xr:uid="{00000000-0005-0000-0000-00008F000000}"/>
    <cellStyle name="Millares 5 3 2 5" xfId="282" xr:uid="{00000000-0005-0000-0000-00008C000000}"/>
    <cellStyle name="Millares 5 3 3" xfId="77" xr:uid="{00000000-0005-0000-0000-000090000000}"/>
    <cellStyle name="Millares 5 3 3 2" xfId="131" xr:uid="{00000000-0005-0000-0000-000091000000}"/>
    <cellStyle name="Millares 5 3 3 2 2" xfId="357" xr:uid="{00000000-0005-0000-0000-000091000000}"/>
    <cellStyle name="Millares 5 3 3 3" xfId="187" xr:uid="{00000000-0005-0000-0000-000092000000}"/>
    <cellStyle name="Millares 5 3 3 3 2" xfId="413" xr:uid="{00000000-0005-0000-0000-000092000000}"/>
    <cellStyle name="Millares 5 3 3 4" xfId="241" xr:uid="{00000000-0005-0000-0000-000093000000}"/>
    <cellStyle name="Millares 5 3 3 4 2" xfId="467" xr:uid="{00000000-0005-0000-0000-000093000000}"/>
    <cellStyle name="Millares 5 3 3 5" xfId="303" xr:uid="{00000000-0005-0000-0000-000090000000}"/>
    <cellStyle name="Millares 5 3 4" xfId="94" xr:uid="{00000000-0005-0000-0000-000094000000}"/>
    <cellStyle name="Millares 5 3 4 2" xfId="320" xr:uid="{00000000-0005-0000-0000-000094000000}"/>
    <cellStyle name="Millares 5 3 5" xfId="150" xr:uid="{00000000-0005-0000-0000-000095000000}"/>
    <cellStyle name="Millares 5 3 5 2" xfId="376" xr:uid="{00000000-0005-0000-0000-000095000000}"/>
    <cellStyle name="Millares 5 3 6" xfId="205" xr:uid="{00000000-0005-0000-0000-000096000000}"/>
    <cellStyle name="Millares 5 3 6 2" xfId="431" xr:uid="{00000000-0005-0000-0000-000096000000}"/>
    <cellStyle name="Millares 5 3 7" xfId="266" xr:uid="{00000000-0005-0000-0000-00008B000000}"/>
    <cellStyle name="Millares 5 4" xfId="47" xr:uid="{00000000-0005-0000-0000-000097000000}"/>
    <cellStyle name="Millares 5 4 2" xfId="101" xr:uid="{00000000-0005-0000-0000-000098000000}"/>
    <cellStyle name="Millares 5 4 2 2" xfId="327" xr:uid="{00000000-0005-0000-0000-000098000000}"/>
    <cellStyle name="Millares 5 4 3" xfId="157" xr:uid="{00000000-0005-0000-0000-000099000000}"/>
    <cellStyle name="Millares 5 4 3 2" xfId="383" xr:uid="{00000000-0005-0000-0000-000099000000}"/>
    <cellStyle name="Millares 5 4 4" xfId="211" xr:uid="{00000000-0005-0000-0000-00009A000000}"/>
    <cellStyle name="Millares 5 4 4 2" xfId="437" xr:uid="{00000000-0005-0000-0000-00009A000000}"/>
    <cellStyle name="Millares 5 4 5" xfId="273" xr:uid="{00000000-0005-0000-0000-000097000000}"/>
    <cellStyle name="Millares 5 5" xfId="69" xr:uid="{00000000-0005-0000-0000-00009B000000}"/>
    <cellStyle name="Millares 5 5 2" xfId="123" xr:uid="{00000000-0005-0000-0000-00009C000000}"/>
    <cellStyle name="Millares 5 5 2 2" xfId="349" xr:uid="{00000000-0005-0000-0000-00009C000000}"/>
    <cellStyle name="Millares 5 5 3" xfId="179" xr:uid="{00000000-0005-0000-0000-00009D000000}"/>
    <cellStyle name="Millares 5 5 3 2" xfId="405" xr:uid="{00000000-0005-0000-0000-00009D000000}"/>
    <cellStyle name="Millares 5 5 4" xfId="233" xr:uid="{00000000-0005-0000-0000-00009E000000}"/>
    <cellStyle name="Millares 5 5 4 2" xfId="459" xr:uid="{00000000-0005-0000-0000-00009E000000}"/>
    <cellStyle name="Millares 5 5 5" xfId="295" xr:uid="{00000000-0005-0000-0000-00009B000000}"/>
    <cellStyle name="Millares 5 6" xfId="86" xr:uid="{00000000-0005-0000-0000-00009F000000}"/>
    <cellStyle name="Millares 5 6 2" xfId="312" xr:uid="{00000000-0005-0000-0000-00009F000000}"/>
    <cellStyle name="Millares 5 7" xfId="142" xr:uid="{00000000-0005-0000-0000-0000A0000000}"/>
    <cellStyle name="Millares 5 7 2" xfId="368" xr:uid="{00000000-0005-0000-0000-0000A0000000}"/>
    <cellStyle name="Millares 5 8" xfId="197" xr:uid="{00000000-0005-0000-0000-0000A1000000}"/>
    <cellStyle name="Millares 5 8 2" xfId="423" xr:uid="{00000000-0005-0000-0000-0000A1000000}"/>
    <cellStyle name="Millares 5 9" xfId="258" xr:uid="{00000000-0005-0000-0000-00007E000000}"/>
    <cellStyle name="Millares 6" xfId="27" xr:uid="{00000000-0005-0000-0000-0000A2000000}"/>
    <cellStyle name="Millares 6 2" xfId="50" xr:uid="{00000000-0005-0000-0000-0000A3000000}"/>
    <cellStyle name="Millares 6 2 2" xfId="104" xr:uid="{00000000-0005-0000-0000-0000A4000000}"/>
    <cellStyle name="Millares 6 2 2 2" xfId="330" xr:uid="{00000000-0005-0000-0000-0000A4000000}"/>
    <cellStyle name="Millares 6 2 3" xfId="160" xr:uid="{00000000-0005-0000-0000-0000A5000000}"/>
    <cellStyle name="Millares 6 2 3 2" xfId="386" xr:uid="{00000000-0005-0000-0000-0000A5000000}"/>
    <cellStyle name="Millares 6 2 4" xfId="214" xr:uid="{00000000-0005-0000-0000-0000A6000000}"/>
    <cellStyle name="Millares 6 2 4 2" xfId="440" xr:uid="{00000000-0005-0000-0000-0000A6000000}"/>
    <cellStyle name="Millares 6 2 5" xfId="276" xr:uid="{00000000-0005-0000-0000-0000A3000000}"/>
    <cellStyle name="Millares 6 3" xfId="71" xr:uid="{00000000-0005-0000-0000-0000A7000000}"/>
    <cellStyle name="Millares 6 3 2" xfId="125" xr:uid="{00000000-0005-0000-0000-0000A8000000}"/>
    <cellStyle name="Millares 6 3 2 2" xfId="351" xr:uid="{00000000-0005-0000-0000-0000A8000000}"/>
    <cellStyle name="Millares 6 3 3" xfId="181" xr:uid="{00000000-0005-0000-0000-0000A9000000}"/>
    <cellStyle name="Millares 6 3 3 2" xfId="407" xr:uid="{00000000-0005-0000-0000-0000A9000000}"/>
    <cellStyle name="Millares 6 3 4" xfId="235" xr:uid="{00000000-0005-0000-0000-0000AA000000}"/>
    <cellStyle name="Millares 6 3 4 2" xfId="461" xr:uid="{00000000-0005-0000-0000-0000AA000000}"/>
    <cellStyle name="Millares 6 3 5" xfId="297" xr:uid="{00000000-0005-0000-0000-0000A7000000}"/>
    <cellStyle name="Millares 6 4" xfId="88" xr:uid="{00000000-0005-0000-0000-0000AB000000}"/>
    <cellStyle name="Millares 6 4 2" xfId="314" xr:uid="{00000000-0005-0000-0000-0000AB000000}"/>
    <cellStyle name="Millares 6 5" xfId="144" xr:uid="{00000000-0005-0000-0000-0000AC000000}"/>
    <cellStyle name="Millares 6 5 2" xfId="370" xr:uid="{00000000-0005-0000-0000-0000AC000000}"/>
    <cellStyle name="Millares 6 6" xfId="199" xr:uid="{00000000-0005-0000-0000-0000AD000000}"/>
    <cellStyle name="Millares 6 6 2" xfId="425" xr:uid="{00000000-0005-0000-0000-0000AD000000}"/>
    <cellStyle name="Millares 6 7" xfId="260" xr:uid="{00000000-0005-0000-0000-0000A2000000}"/>
    <cellStyle name="Millares 7" xfId="31" xr:uid="{00000000-0005-0000-0000-0000AE000000}"/>
    <cellStyle name="Millares 7 2" xfId="54" xr:uid="{00000000-0005-0000-0000-0000AF000000}"/>
    <cellStyle name="Millares 7 2 2" xfId="108" xr:uid="{00000000-0005-0000-0000-0000B0000000}"/>
    <cellStyle name="Millares 7 2 2 2" xfId="334" xr:uid="{00000000-0005-0000-0000-0000B0000000}"/>
    <cellStyle name="Millares 7 2 3" xfId="164" xr:uid="{00000000-0005-0000-0000-0000B1000000}"/>
    <cellStyle name="Millares 7 2 3 2" xfId="390" xr:uid="{00000000-0005-0000-0000-0000B1000000}"/>
    <cellStyle name="Millares 7 2 4" xfId="218" xr:uid="{00000000-0005-0000-0000-0000B2000000}"/>
    <cellStyle name="Millares 7 2 4 2" xfId="444" xr:uid="{00000000-0005-0000-0000-0000B2000000}"/>
    <cellStyle name="Millares 7 2 5" xfId="280" xr:uid="{00000000-0005-0000-0000-0000AF000000}"/>
    <cellStyle name="Millares 7 3" xfId="75" xr:uid="{00000000-0005-0000-0000-0000B3000000}"/>
    <cellStyle name="Millares 7 3 2" xfId="129" xr:uid="{00000000-0005-0000-0000-0000B4000000}"/>
    <cellStyle name="Millares 7 3 2 2" xfId="355" xr:uid="{00000000-0005-0000-0000-0000B4000000}"/>
    <cellStyle name="Millares 7 3 3" xfId="185" xr:uid="{00000000-0005-0000-0000-0000B5000000}"/>
    <cellStyle name="Millares 7 3 3 2" xfId="411" xr:uid="{00000000-0005-0000-0000-0000B5000000}"/>
    <cellStyle name="Millares 7 3 4" xfId="239" xr:uid="{00000000-0005-0000-0000-0000B6000000}"/>
    <cellStyle name="Millares 7 3 4 2" xfId="465" xr:uid="{00000000-0005-0000-0000-0000B6000000}"/>
    <cellStyle name="Millares 7 3 5" xfId="301" xr:uid="{00000000-0005-0000-0000-0000B3000000}"/>
    <cellStyle name="Millares 7 4" xfId="92" xr:uid="{00000000-0005-0000-0000-0000B7000000}"/>
    <cellStyle name="Millares 7 4 2" xfId="318" xr:uid="{00000000-0005-0000-0000-0000B7000000}"/>
    <cellStyle name="Millares 7 5" xfId="148" xr:uid="{00000000-0005-0000-0000-0000B8000000}"/>
    <cellStyle name="Millares 7 5 2" xfId="374" xr:uid="{00000000-0005-0000-0000-0000B8000000}"/>
    <cellStyle name="Millares 7 6" xfId="203" xr:uid="{00000000-0005-0000-0000-0000B9000000}"/>
    <cellStyle name="Millares 7 6 2" xfId="429" xr:uid="{00000000-0005-0000-0000-0000B9000000}"/>
    <cellStyle name="Millares 7 7" xfId="264" xr:uid="{00000000-0005-0000-0000-0000AE000000}"/>
    <cellStyle name="Millares 8" xfId="38" xr:uid="{00000000-0005-0000-0000-0000BA000000}"/>
    <cellStyle name="Millares 9" xfId="42" xr:uid="{00000000-0005-0000-0000-0000BB000000}"/>
    <cellStyle name="Millares 9 2" xfId="59" xr:uid="{00000000-0005-0000-0000-0000BC000000}"/>
    <cellStyle name="Millares 9 2 2" xfId="113" xr:uid="{00000000-0005-0000-0000-0000BD000000}"/>
    <cellStyle name="Millares 9 2 2 2" xfId="339" xr:uid="{00000000-0005-0000-0000-0000BD000000}"/>
    <cellStyle name="Millares 9 2 3" xfId="169" xr:uid="{00000000-0005-0000-0000-0000BE000000}"/>
    <cellStyle name="Millares 9 2 3 2" xfId="395" xr:uid="{00000000-0005-0000-0000-0000BE000000}"/>
    <cellStyle name="Millares 9 2 4" xfId="223" xr:uid="{00000000-0005-0000-0000-0000BF000000}"/>
    <cellStyle name="Millares 9 2 4 2" xfId="449" xr:uid="{00000000-0005-0000-0000-0000BF000000}"/>
    <cellStyle name="Millares 9 2 5" xfId="285" xr:uid="{00000000-0005-0000-0000-0000BC000000}"/>
    <cellStyle name="Moneda" xfId="1" builtinId="4"/>
    <cellStyle name="Moneda [0] 2" xfId="36" xr:uid="{00000000-0005-0000-0000-0000C1000000}"/>
    <cellStyle name="Moneda 2" xfId="8" xr:uid="{00000000-0005-0000-0000-0000C2000000}"/>
    <cellStyle name="Moneda 2 2" xfId="25" xr:uid="{00000000-0005-0000-0000-0000C3000000}"/>
    <cellStyle name="Moneda 3" xfId="26" xr:uid="{00000000-0005-0000-0000-0000C4000000}"/>
    <cellStyle name="Moneda 3 2" xfId="30" xr:uid="{00000000-0005-0000-0000-0000C5000000}"/>
    <cellStyle name="Moneda 3 2 2" xfId="53" xr:uid="{00000000-0005-0000-0000-0000C6000000}"/>
    <cellStyle name="Moneda 3 2 2 2" xfId="107" xr:uid="{00000000-0005-0000-0000-0000C7000000}"/>
    <cellStyle name="Moneda 3 2 2 2 2" xfId="333" xr:uid="{00000000-0005-0000-0000-0000C7000000}"/>
    <cellStyle name="Moneda 3 2 2 3" xfId="163" xr:uid="{00000000-0005-0000-0000-0000C8000000}"/>
    <cellStyle name="Moneda 3 2 2 3 2" xfId="389" xr:uid="{00000000-0005-0000-0000-0000C8000000}"/>
    <cellStyle name="Moneda 3 2 2 4" xfId="217" xr:uid="{00000000-0005-0000-0000-0000C9000000}"/>
    <cellStyle name="Moneda 3 2 2 4 2" xfId="443" xr:uid="{00000000-0005-0000-0000-0000C9000000}"/>
    <cellStyle name="Moneda 3 2 2 5" xfId="279" xr:uid="{00000000-0005-0000-0000-0000C6000000}"/>
    <cellStyle name="Moneda 3 2 3" xfId="74" xr:uid="{00000000-0005-0000-0000-0000CA000000}"/>
    <cellStyle name="Moneda 3 2 3 2" xfId="128" xr:uid="{00000000-0005-0000-0000-0000CB000000}"/>
    <cellStyle name="Moneda 3 2 3 2 2" xfId="354" xr:uid="{00000000-0005-0000-0000-0000CB000000}"/>
    <cellStyle name="Moneda 3 2 3 3" xfId="184" xr:uid="{00000000-0005-0000-0000-0000CC000000}"/>
    <cellStyle name="Moneda 3 2 3 3 2" xfId="410" xr:uid="{00000000-0005-0000-0000-0000CC000000}"/>
    <cellStyle name="Moneda 3 2 3 4" xfId="238" xr:uid="{00000000-0005-0000-0000-0000CD000000}"/>
    <cellStyle name="Moneda 3 2 3 4 2" xfId="464" xr:uid="{00000000-0005-0000-0000-0000CD000000}"/>
    <cellStyle name="Moneda 3 2 3 5" xfId="300" xr:uid="{00000000-0005-0000-0000-0000CA000000}"/>
    <cellStyle name="Moneda 3 2 4" xfId="91" xr:uid="{00000000-0005-0000-0000-0000CE000000}"/>
    <cellStyle name="Moneda 3 2 4 2" xfId="317" xr:uid="{00000000-0005-0000-0000-0000CE000000}"/>
    <cellStyle name="Moneda 3 2 5" xfId="147" xr:uid="{00000000-0005-0000-0000-0000CF000000}"/>
    <cellStyle name="Moneda 3 2 5 2" xfId="373" xr:uid="{00000000-0005-0000-0000-0000CF000000}"/>
    <cellStyle name="Moneda 3 2 6" xfId="202" xr:uid="{00000000-0005-0000-0000-0000D0000000}"/>
    <cellStyle name="Moneda 3 2 6 2" xfId="428" xr:uid="{00000000-0005-0000-0000-0000D0000000}"/>
    <cellStyle name="Moneda 3 2 7" xfId="263" xr:uid="{00000000-0005-0000-0000-0000C5000000}"/>
    <cellStyle name="Moneda 3 3" xfId="34" xr:uid="{00000000-0005-0000-0000-0000D1000000}"/>
    <cellStyle name="Moneda 3 3 2" xfId="57" xr:uid="{00000000-0005-0000-0000-0000D2000000}"/>
    <cellStyle name="Moneda 3 3 2 2" xfId="111" xr:uid="{00000000-0005-0000-0000-0000D3000000}"/>
    <cellStyle name="Moneda 3 3 2 2 2" xfId="337" xr:uid="{00000000-0005-0000-0000-0000D3000000}"/>
    <cellStyle name="Moneda 3 3 2 3" xfId="167" xr:uid="{00000000-0005-0000-0000-0000D4000000}"/>
    <cellStyle name="Moneda 3 3 2 3 2" xfId="393" xr:uid="{00000000-0005-0000-0000-0000D4000000}"/>
    <cellStyle name="Moneda 3 3 2 4" xfId="221" xr:uid="{00000000-0005-0000-0000-0000D5000000}"/>
    <cellStyle name="Moneda 3 3 2 4 2" xfId="447" xr:uid="{00000000-0005-0000-0000-0000D5000000}"/>
    <cellStyle name="Moneda 3 3 2 5" xfId="283" xr:uid="{00000000-0005-0000-0000-0000D2000000}"/>
    <cellStyle name="Moneda 3 3 3" xfId="78" xr:uid="{00000000-0005-0000-0000-0000D6000000}"/>
    <cellStyle name="Moneda 3 3 3 2" xfId="132" xr:uid="{00000000-0005-0000-0000-0000D7000000}"/>
    <cellStyle name="Moneda 3 3 3 2 2" xfId="358" xr:uid="{00000000-0005-0000-0000-0000D7000000}"/>
    <cellStyle name="Moneda 3 3 3 3" xfId="188" xr:uid="{00000000-0005-0000-0000-0000D8000000}"/>
    <cellStyle name="Moneda 3 3 3 3 2" xfId="414" xr:uid="{00000000-0005-0000-0000-0000D8000000}"/>
    <cellStyle name="Moneda 3 3 3 4" xfId="242" xr:uid="{00000000-0005-0000-0000-0000D9000000}"/>
    <cellStyle name="Moneda 3 3 3 4 2" xfId="468" xr:uid="{00000000-0005-0000-0000-0000D9000000}"/>
    <cellStyle name="Moneda 3 3 3 5" xfId="304" xr:uid="{00000000-0005-0000-0000-0000D6000000}"/>
    <cellStyle name="Moneda 3 3 4" xfId="95" xr:uid="{00000000-0005-0000-0000-0000DA000000}"/>
    <cellStyle name="Moneda 3 3 4 2" xfId="321" xr:uid="{00000000-0005-0000-0000-0000DA000000}"/>
    <cellStyle name="Moneda 3 3 5" xfId="151" xr:uid="{00000000-0005-0000-0000-0000DB000000}"/>
    <cellStyle name="Moneda 3 3 5 2" xfId="377" xr:uid="{00000000-0005-0000-0000-0000DB000000}"/>
    <cellStyle name="Moneda 3 3 6" xfId="206" xr:uid="{00000000-0005-0000-0000-0000DC000000}"/>
    <cellStyle name="Moneda 3 3 6 2" xfId="432" xr:uid="{00000000-0005-0000-0000-0000DC000000}"/>
    <cellStyle name="Moneda 3 3 7" xfId="267" xr:uid="{00000000-0005-0000-0000-0000D1000000}"/>
    <cellStyle name="Moneda 3 4" xfId="49" xr:uid="{00000000-0005-0000-0000-0000DD000000}"/>
    <cellStyle name="Moneda 3 4 2" xfId="103" xr:uid="{00000000-0005-0000-0000-0000DE000000}"/>
    <cellStyle name="Moneda 3 4 2 2" xfId="329" xr:uid="{00000000-0005-0000-0000-0000DE000000}"/>
    <cellStyle name="Moneda 3 4 3" xfId="159" xr:uid="{00000000-0005-0000-0000-0000DF000000}"/>
    <cellStyle name="Moneda 3 4 3 2" xfId="385" xr:uid="{00000000-0005-0000-0000-0000DF000000}"/>
    <cellStyle name="Moneda 3 4 4" xfId="213" xr:uid="{00000000-0005-0000-0000-0000E0000000}"/>
    <cellStyle name="Moneda 3 4 4 2" xfId="439" xr:uid="{00000000-0005-0000-0000-0000E0000000}"/>
    <cellStyle name="Moneda 3 4 5" xfId="275" xr:uid="{00000000-0005-0000-0000-0000DD000000}"/>
    <cellStyle name="Moneda 3 5" xfId="70" xr:uid="{00000000-0005-0000-0000-0000E1000000}"/>
    <cellStyle name="Moneda 3 5 2" xfId="124" xr:uid="{00000000-0005-0000-0000-0000E2000000}"/>
    <cellStyle name="Moneda 3 5 2 2" xfId="350" xr:uid="{00000000-0005-0000-0000-0000E2000000}"/>
    <cellStyle name="Moneda 3 5 3" xfId="180" xr:uid="{00000000-0005-0000-0000-0000E3000000}"/>
    <cellStyle name="Moneda 3 5 3 2" xfId="406" xr:uid="{00000000-0005-0000-0000-0000E3000000}"/>
    <cellStyle name="Moneda 3 5 4" xfId="234" xr:uid="{00000000-0005-0000-0000-0000E4000000}"/>
    <cellStyle name="Moneda 3 5 4 2" xfId="460" xr:uid="{00000000-0005-0000-0000-0000E4000000}"/>
    <cellStyle name="Moneda 3 5 5" xfId="296" xr:uid="{00000000-0005-0000-0000-0000E1000000}"/>
    <cellStyle name="Moneda 3 6" xfId="87" xr:uid="{00000000-0005-0000-0000-0000E5000000}"/>
    <cellStyle name="Moneda 3 6 2" xfId="313" xr:uid="{00000000-0005-0000-0000-0000E5000000}"/>
    <cellStyle name="Moneda 3 7" xfId="143" xr:uid="{00000000-0005-0000-0000-0000E6000000}"/>
    <cellStyle name="Moneda 3 7 2" xfId="369" xr:uid="{00000000-0005-0000-0000-0000E6000000}"/>
    <cellStyle name="Moneda 3 8" xfId="198" xr:uid="{00000000-0005-0000-0000-0000E7000000}"/>
    <cellStyle name="Moneda 3 8 2" xfId="424" xr:uid="{00000000-0005-0000-0000-0000E7000000}"/>
    <cellStyle name="Moneda 3 9" xfId="259" xr:uid="{00000000-0005-0000-0000-0000C4000000}"/>
    <cellStyle name="Moneda 4" xfId="37" xr:uid="{00000000-0005-0000-0000-0000E8000000}"/>
    <cellStyle name="Moneda 5" xfId="246" xr:uid="{00000000-0005-0000-0000-0000E9000000}"/>
    <cellStyle name="Moneda 5 2" xfId="472" xr:uid="{00000000-0005-0000-0000-0000E9000000}"/>
    <cellStyle name="Moneda 6" xfId="250" xr:uid="{00000000-0005-0000-0000-0000F0000000}"/>
    <cellStyle name="Moneda 7" xfId="254" xr:uid="{00000000-0005-0000-0000-000027010000}"/>
    <cellStyle name="Normal" xfId="0" builtinId="0"/>
    <cellStyle name="Normal 2" xfId="3" xr:uid="{00000000-0005-0000-0000-0000EB000000}"/>
    <cellStyle name="Normal 2 2" xfId="39" xr:uid="{00000000-0005-0000-0000-0000EC000000}"/>
    <cellStyle name="Normal 2 3" xfId="251" xr:uid="{00000000-0005-0000-0000-0000EB000000}"/>
    <cellStyle name="Normal 3" xfId="13" xr:uid="{00000000-0005-0000-0000-0000ED000000}"/>
    <cellStyle name="Normal 3 2" xfId="19" xr:uid="{00000000-0005-0000-0000-0000EE000000}"/>
    <cellStyle name="Normal 4" xfId="14" xr:uid="{00000000-0005-0000-0000-0000EF000000}"/>
    <cellStyle name="Normal 4 2" xfId="20" xr:uid="{00000000-0005-0000-0000-0000F0000000}"/>
    <cellStyle name="Normal 5" xfId="6" xr:uid="{00000000-0005-0000-0000-0000F1000000}"/>
    <cellStyle name="Porcentaje" xfId="2" builtinId="5"/>
    <cellStyle name="Porcentaje 2" xfId="5" xr:uid="{00000000-0005-0000-0000-0000F3000000}"/>
    <cellStyle name="Porcentaje 2 2" xfId="7" xr:uid="{00000000-0005-0000-0000-0000F4000000}"/>
    <cellStyle name="Porcentaje 2 3" xfId="41" xr:uid="{00000000-0005-0000-0000-0000F5000000}"/>
    <cellStyle name="Porcentaje 2 4" xfId="253" xr:uid="{00000000-0005-0000-0000-0000F3000000}"/>
    <cellStyle name="Porcentaje 3" xfId="15" xr:uid="{00000000-0005-0000-0000-0000F6000000}"/>
    <cellStyle name="Porcentaje 3 2" xfId="21" xr:uid="{00000000-0005-0000-0000-0000F7000000}"/>
  </cellStyles>
  <dxfs count="0"/>
  <tableStyles count="0" defaultTableStyle="TableStyleMedium2" defaultPivotStyle="PivotStyleLight16"/>
  <colors>
    <mruColors>
      <color rgb="FFC3D7D0"/>
      <color rgb="FF7CA697"/>
      <color rgb="FF94B6AA"/>
      <color rgb="FFFFFF00"/>
      <color rgb="FF6699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CUERDOS%2017%20AL%20JUNTA%2014%20DE%20DICIEMBRE%20DE%202016\Cierre%20definitivo%20Terc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EDEPAPA/Desktop/COORDINACI&#211;N%20PRESUPUESTO%20Y%20GESTI&#211;N%20CALIDAD/CONTROL%20PRESUPUESTAL/Presupuestos%20Actualizados/Presupuesto_FNFP_2017%20ipc%20con%20proyeccion%20ingres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EDEPAPA/Desktop/COORDINACI&#211;N%20PRESUPUESTO%20Y%20GESTI&#211;N%20CALIDAD/CONSUMO%20PPTO%202017%20LEONAR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P 2016 CIERRE ACDO 13"/>
      <sheetName val="Nomina 2015"/>
      <sheetName val="RECAUDO OK"/>
      <sheetName val="SISTEMAS DE INFORMACIÓN OK "/>
      <sheetName val="ASISTENCIA TÉCNICA OK"/>
      <sheetName val="FERIAS GASTRONOMICAS OK"/>
      <sheetName val="SAC"/>
      <sheetName val="FUNCIONAMIENTO OK"/>
      <sheetName val="Nomina 2016 "/>
    </sheetNames>
    <sheetDataSet>
      <sheetData sheetId="0"/>
      <sheetData sheetId="1"/>
      <sheetData sheetId="2">
        <row r="58">
          <cell r="M58">
            <v>42370</v>
          </cell>
        </row>
        <row r="59">
          <cell r="M59">
            <v>42400</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P 2016 comparativo"/>
      <sheetName val="APROP 2016"/>
      <sheetName val="INGRESOS"/>
      <sheetName val="CONSOLIDADO ANEXO 2"/>
      <sheetName val="SUPUESTOS INGRESOS"/>
      <sheetName val="Ingresos Cuota de fomento 2016"/>
      <sheetName val="Ingreso intereses"/>
      <sheetName val="supuestos gastos"/>
      <sheetName val="Nomina 2015"/>
      <sheetName val="Nomina 2016 "/>
      <sheetName val="HONORARIOS"/>
      <sheetName val="FUNCIONAMIENTO"/>
      <sheetName val="RECAUDO"/>
      <sheetName val="secretaria tecnica "/>
      <sheetName val="asistencia tecnica"/>
      <sheetName val="Sistemas de informacion"/>
      <sheetName val="seminario"/>
      <sheetName val="Campaña de consumo"/>
      <sheetName val="proyectos"/>
    </sheetNames>
    <sheetDataSet>
      <sheetData sheetId="0"/>
      <sheetData sheetId="1">
        <row r="33">
          <cell r="C33">
            <v>0</v>
          </cell>
        </row>
        <row r="35">
          <cell r="C35">
            <v>0</v>
          </cell>
        </row>
        <row r="36">
          <cell r="C36">
            <v>0</v>
          </cell>
        </row>
        <row r="38">
          <cell r="C38">
            <v>0</v>
          </cell>
        </row>
        <row r="40">
          <cell r="C40">
            <v>0</v>
          </cell>
        </row>
        <row r="41">
          <cell r="C41">
            <v>0</v>
          </cell>
        </row>
      </sheetData>
      <sheetData sheetId="2"/>
      <sheetData sheetId="3"/>
      <sheetData sheetId="4"/>
      <sheetData sheetId="5"/>
      <sheetData sheetId="6"/>
      <sheetData sheetId="7">
        <row r="10">
          <cell r="F10">
            <v>30</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NEXO 2 OK"/>
      <sheetName val="INGRESOS Pendiente x cierre año"/>
      <sheetName val="SUPUESTOS INGRESOS OK"/>
      <sheetName val="Ingresos Cuota fomento 2017 OK"/>
      <sheetName val="Ingreso intereses OK"/>
      <sheetName val="Supuestos Gastos OK"/>
      <sheetName val="Nomina 2015"/>
      <sheetName val="Nomina 2017 OK"/>
      <sheetName val="APROP 2017 OK"/>
      <sheetName val="Nomina IER TRIM"/>
      <sheetName val="FUNCIONAMIENTO"/>
      <sheetName val="AT NUCLEOS PROGRESIVOS"/>
      <sheetName val="RECAUDO"/>
      <sheetName val="SISTEMAS DE INFORMACIÓN"/>
      <sheetName val="S I ASOCIATIVIDAD"/>
      <sheetName val="CAMPAÑA DE PROMOCION AL CONS"/>
      <sheetName val="AGROEXPO 2017 "/>
      <sheetName val="Hoja1"/>
      <sheetName val="solicitud final"/>
      <sheetName val="cuadro porcentajes"/>
      <sheetName val="propues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6">
          <cell r="P36">
            <v>840000000</v>
          </cell>
        </row>
      </sheetData>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uperfinanciera.gov.co/reportes/" TargetMode="External"/><Relationship Id="rId1" Type="http://schemas.openxmlformats.org/officeDocument/2006/relationships/hyperlink" Target="https://www.superfinanciera.gov.co/report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dimension ref="A2:X109"/>
  <sheetViews>
    <sheetView topLeftCell="B8" zoomScale="90" zoomScaleNormal="90" workbookViewId="0">
      <selection activeCell="F13" sqref="F13:H15"/>
    </sheetView>
  </sheetViews>
  <sheetFormatPr baseColWidth="10" defaultRowHeight="15.75" outlineLevelCol="1" x14ac:dyDescent="0.25"/>
  <cols>
    <col min="1" max="1" width="0.7109375" style="238" hidden="1" customWidth="1"/>
    <col min="2" max="2" width="38.140625" style="238" customWidth="1"/>
    <col min="3" max="3" width="18" style="237" hidden="1" customWidth="1" outlineLevel="1"/>
    <col min="4" max="4" width="11.7109375" style="237" hidden="1" customWidth="1" outlineLevel="1"/>
    <col min="5" max="5" width="12.28515625" style="237" hidden="1" customWidth="1" outlineLevel="1"/>
    <col min="6" max="6" width="20" style="237" bestFit="1" customWidth="1" collapsed="1"/>
    <col min="7" max="7" width="20" style="237" bestFit="1" customWidth="1"/>
    <col min="8" max="8" width="18.28515625" style="1045" customWidth="1"/>
    <col min="9" max="10" width="18" style="405" bestFit="1" customWidth="1"/>
    <col min="11" max="11" width="31.42578125" style="237" hidden="1" customWidth="1"/>
    <col min="12" max="14" width="15.28515625" style="237" hidden="1" customWidth="1"/>
    <col min="15" max="15" width="14.85546875" style="237" hidden="1" customWidth="1"/>
    <col min="16" max="17" width="16.5703125" style="237" bestFit="1" customWidth="1"/>
    <col min="18" max="19" width="14.85546875" style="237" customWidth="1"/>
    <col min="20" max="21" width="14.85546875" style="238" customWidth="1"/>
    <col min="22" max="24" width="14.85546875" style="238" bestFit="1" customWidth="1"/>
    <col min="25" max="266" width="11.42578125" style="238"/>
    <col min="267" max="267" width="0.7109375" style="238" customWidth="1"/>
    <col min="268" max="268" width="42.28515625" style="238" bestFit="1" customWidth="1"/>
    <col min="269" max="270" width="13.85546875" style="238" bestFit="1" customWidth="1"/>
    <col min="271" max="271" width="11.140625" style="238" bestFit="1" customWidth="1"/>
    <col min="272" max="272" width="13.85546875" style="238" bestFit="1" customWidth="1"/>
    <col min="273" max="273" width="3.7109375" style="238" bestFit="1" customWidth="1"/>
    <col min="274" max="274" width="7.5703125" style="238" bestFit="1" customWidth="1"/>
    <col min="275" max="275" width="16.7109375" style="238" bestFit="1" customWidth="1"/>
    <col min="276" max="277" width="12.28515625" style="238" bestFit="1" customWidth="1"/>
    <col min="278" max="522" width="11.42578125" style="238"/>
    <col min="523" max="523" width="0.7109375" style="238" customWidth="1"/>
    <col min="524" max="524" width="42.28515625" style="238" bestFit="1" customWidth="1"/>
    <col min="525" max="526" width="13.85546875" style="238" bestFit="1" customWidth="1"/>
    <col min="527" max="527" width="11.140625" style="238" bestFit="1" customWidth="1"/>
    <col min="528" max="528" width="13.85546875" style="238" bestFit="1" customWidth="1"/>
    <col min="529" max="529" width="3.7109375" style="238" bestFit="1" customWidth="1"/>
    <col min="530" max="530" width="7.5703125" style="238" bestFit="1" customWidth="1"/>
    <col min="531" max="531" width="16.7109375" style="238" bestFit="1" customWidth="1"/>
    <col min="532" max="533" width="12.28515625" style="238" bestFit="1" customWidth="1"/>
    <col min="534" max="778" width="11.42578125" style="238"/>
    <col min="779" max="779" width="0.7109375" style="238" customWidth="1"/>
    <col min="780" max="780" width="42.28515625" style="238" bestFit="1" customWidth="1"/>
    <col min="781" max="782" width="13.85546875" style="238" bestFit="1" customWidth="1"/>
    <col min="783" max="783" width="11.140625" style="238" bestFit="1" customWidth="1"/>
    <col min="784" max="784" width="13.85546875" style="238" bestFit="1" customWidth="1"/>
    <col min="785" max="785" width="3.7109375" style="238" bestFit="1" customWidth="1"/>
    <col min="786" max="786" width="7.5703125" style="238" bestFit="1" customWidth="1"/>
    <col min="787" max="787" width="16.7109375" style="238" bestFit="1" customWidth="1"/>
    <col min="788" max="789" width="12.28515625" style="238" bestFit="1" customWidth="1"/>
    <col min="790" max="1034" width="11.42578125" style="238"/>
    <col min="1035" max="1035" width="0.7109375" style="238" customWidth="1"/>
    <col min="1036" max="1036" width="42.28515625" style="238" bestFit="1" customWidth="1"/>
    <col min="1037" max="1038" width="13.85546875" style="238" bestFit="1" customWidth="1"/>
    <col min="1039" max="1039" width="11.140625" style="238" bestFit="1" customWidth="1"/>
    <col min="1040" max="1040" width="13.85546875" style="238" bestFit="1" customWidth="1"/>
    <col min="1041" max="1041" width="3.7109375" style="238" bestFit="1" customWidth="1"/>
    <col min="1042" max="1042" width="7.5703125" style="238" bestFit="1" customWidth="1"/>
    <col min="1043" max="1043" width="16.7109375" style="238" bestFit="1" customWidth="1"/>
    <col min="1044" max="1045" width="12.28515625" style="238" bestFit="1" customWidth="1"/>
    <col min="1046" max="1290" width="11.42578125" style="238"/>
    <col min="1291" max="1291" width="0.7109375" style="238" customWidth="1"/>
    <col min="1292" max="1292" width="42.28515625" style="238" bestFit="1" customWidth="1"/>
    <col min="1293" max="1294" width="13.85546875" style="238" bestFit="1" customWidth="1"/>
    <col min="1295" max="1295" width="11.140625" style="238" bestFit="1" customWidth="1"/>
    <col min="1296" max="1296" width="13.85546875" style="238" bestFit="1" customWidth="1"/>
    <col min="1297" max="1297" width="3.7109375" style="238" bestFit="1" customWidth="1"/>
    <col min="1298" max="1298" width="7.5703125" style="238" bestFit="1" customWidth="1"/>
    <col min="1299" max="1299" width="16.7109375" style="238" bestFit="1" customWidth="1"/>
    <col min="1300" max="1301" width="12.28515625" style="238" bestFit="1" customWidth="1"/>
    <col min="1302" max="1546" width="11.42578125" style="238"/>
    <col min="1547" max="1547" width="0.7109375" style="238" customWidth="1"/>
    <col min="1548" max="1548" width="42.28515625" style="238" bestFit="1" customWidth="1"/>
    <col min="1549" max="1550" width="13.85546875" style="238" bestFit="1" customWidth="1"/>
    <col min="1551" max="1551" width="11.140625" style="238" bestFit="1" customWidth="1"/>
    <col min="1552" max="1552" width="13.85546875" style="238" bestFit="1" customWidth="1"/>
    <col min="1553" max="1553" width="3.7109375" style="238" bestFit="1" customWidth="1"/>
    <col min="1554" max="1554" width="7.5703125" style="238" bestFit="1" customWidth="1"/>
    <col min="1555" max="1555" width="16.7109375" style="238" bestFit="1" customWidth="1"/>
    <col min="1556" max="1557" width="12.28515625" style="238" bestFit="1" customWidth="1"/>
    <col min="1558" max="1802" width="11.42578125" style="238"/>
    <col min="1803" max="1803" width="0.7109375" style="238" customWidth="1"/>
    <col min="1804" max="1804" width="42.28515625" style="238" bestFit="1" customWidth="1"/>
    <col min="1805" max="1806" width="13.85546875" style="238" bestFit="1" customWidth="1"/>
    <col min="1807" max="1807" width="11.140625" style="238" bestFit="1" customWidth="1"/>
    <col min="1808" max="1808" width="13.85546875" style="238" bestFit="1" customWidth="1"/>
    <col min="1809" max="1809" width="3.7109375" style="238" bestFit="1" customWidth="1"/>
    <col min="1810" max="1810" width="7.5703125" style="238" bestFit="1" customWidth="1"/>
    <col min="1811" max="1811" width="16.7109375" style="238" bestFit="1" customWidth="1"/>
    <col min="1812" max="1813" width="12.28515625" style="238" bestFit="1" customWidth="1"/>
    <col min="1814" max="2058" width="11.42578125" style="238"/>
    <col min="2059" max="2059" width="0.7109375" style="238" customWidth="1"/>
    <col min="2060" max="2060" width="42.28515625" style="238" bestFit="1" customWidth="1"/>
    <col min="2061" max="2062" width="13.85546875" style="238" bestFit="1" customWidth="1"/>
    <col min="2063" max="2063" width="11.140625" style="238" bestFit="1" customWidth="1"/>
    <col min="2064" max="2064" width="13.85546875" style="238" bestFit="1" customWidth="1"/>
    <col min="2065" max="2065" width="3.7109375" style="238" bestFit="1" customWidth="1"/>
    <col min="2066" max="2066" width="7.5703125" style="238" bestFit="1" customWidth="1"/>
    <col min="2067" max="2067" width="16.7109375" style="238" bestFit="1" customWidth="1"/>
    <col min="2068" max="2069" width="12.28515625" style="238" bestFit="1" customWidth="1"/>
    <col min="2070" max="2314" width="11.42578125" style="238"/>
    <col min="2315" max="2315" width="0.7109375" style="238" customWidth="1"/>
    <col min="2316" max="2316" width="42.28515625" style="238" bestFit="1" customWidth="1"/>
    <col min="2317" max="2318" width="13.85546875" style="238" bestFit="1" customWidth="1"/>
    <col min="2319" max="2319" width="11.140625" style="238" bestFit="1" customWidth="1"/>
    <col min="2320" max="2320" width="13.85546875" style="238" bestFit="1" customWidth="1"/>
    <col min="2321" max="2321" width="3.7109375" style="238" bestFit="1" customWidth="1"/>
    <col min="2322" max="2322" width="7.5703125" style="238" bestFit="1" customWidth="1"/>
    <col min="2323" max="2323" width="16.7109375" style="238" bestFit="1" customWidth="1"/>
    <col min="2324" max="2325" width="12.28515625" style="238" bestFit="1" customWidth="1"/>
    <col min="2326" max="2570" width="11.42578125" style="238"/>
    <col min="2571" max="2571" width="0.7109375" style="238" customWidth="1"/>
    <col min="2572" max="2572" width="42.28515625" style="238" bestFit="1" customWidth="1"/>
    <col min="2573" max="2574" width="13.85546875" style="238" bestFit="1" customWidth="1"/>
    <col min="2575" max="2575" width="11.140625" style="238" bestFit="1" customWidth="1"/>
    <col min="2576" max="2576" width="13.85546875" style="238" bestFit="1" customWidth="1"/>
    <col min="2577" max="2577" width="3.7109375" style="238" bestFit="1" customWidth="1"/>
    <col min="2578" max="2578" width="7.5703125" style="238" bestFit="1" customWidth="1"/>
    <col min="2579" max="2579" width="16.7109375" style="238" bestFit="1" customWidth="1"/>
    <col min="2580" max="2581" width="12.28515625" style="238" bestFit="1" customWidth="1"/>
    <col min="2582" max="2826" width="11.42578125" style="238"/>
    <col min="2827" max="2827" width="0.7109375" style="238" customWidth="1"/>
    <col min="2828" max="2828" width="42.28515625" style="238" bestFit="1" customWidth="1"/>
    <col min="2829" max="2830" width="13.85546875" style="238" bestFit="1" customWidth="1"/>
    <col min="2831" max="2831" width="11.140625" style="238" bestFit="1" customWidth="1"/>
    <col min="2832" max="2832" width="13.85546875" style="238" bestFit="1" customWidth="1"/>
    <col min="2833" max="2833" width="3.7109375" style="238" bestFit="1" customWidth="1"/>
    <col min="2834" max="2834" width="7.5703125" style="238" bestFit="1" customWidth="1"/>
    <col min="2835" max="2835" width="16.7109375" style="238" bestFit="1" customWidth="1"/>
    <col min="2836" max="2837" width="12.28515625" style="238" bestFit="1" customWidth="1"/>
    <col min="2838" max="3082" width="11.42578125" style="238"/>
    <col min="3083" max="3083" width="0.7109375" style="238" customWidth="1"/>
    <col min="3084" max="3084" width="42.28515625" style="238" bestFit="1" customWidth="1"/>
    <col min="3085" max="3086" width="13.85546875" style="238" bestFit="1" customWidth="1"/>
    <col min="3087" max="3087" width="11.140625" style="238" bestFit="1" customWidth="1"/>
    <col min="3088" max="3088" width="13.85546875" style="238" bestFit="1" customWidth="1"/>
    <col min="3089" max="3089" width="3.7109375" style="238" bestFit="1" customWidth="1"/>
    <col min="3090" max="3090" width="7.5703125" style="238" bestFit="1" customWidth="1"/>
    <col min="3091" max="3091" width="16.7109375" style="238" bestFit="1" customWidth="1"/>
    <col min="3092" max="3093" width="12.28515625" style="238" bestFit="1" customWidth="1"/>
    <col min="3094" max="3338" width="11.42578125" style="238"/>
    <col min="3339" max="3339" width="0.7109375" style="238" customWidth="1"/>
    <col min="3340" max="3340" width="42.28515625" style="238" bestFit="1" customWidth="1"/>
    <col min="3341" max="3342" width="13.85546875" style="238" bestFit="1" customWidth="1"/>
    <col min="3343" max="3343" width="11.140625" style="238" bestFit="1" customWidth="1"/>
    <col min="3344" max="3344" width="13.85546875" style="238" bestFit="1" customWidth="1"/>
    <col min="3345" max="3345" width="3.7109375" style="238" bestFit="1" customWidth="1"/>
    <col min="3346" max="3346" width="7.5703125" style="238" bestFit="1" customWidth="1"/>
    <col min="3347" max="3347" width="16.7109375" style="238" bestFit="1" customWidth="1"/>
    <col min="3348" max="3349" width="12.28515625" style="238" bestFit="1" customWidth="1"/>
    <col min="3350" max="3594" width="11.42578125" style="238"/>
    <col min="3595" max="3595" width="0.7109375" style="238" customWidth="1"/>
    <col min="3596" max="3596" width="42.28515625" style="238" bestFit="1" customWidth="1"/>
    <col min="3597" max="3598" width="13.85546875" style="238" bestFit="1" customWidth="1"/>
    <col min="3599" max="3599" width="11.140625" style="238" bestFit="1" customWidth="1"/>
    <col min="3600" max="3600" width="13.85546875" style="238" bestFit="1" customWidth="1"/>
    <col min="3601" max="3601" width="3.7109375" style="238" bestFit="1" customWidth="1"/>
    <col min="3602" max="3602" width="7.5703125" style="238" bestFit="1" customWidth="1"/>
    <col min="3603" max="3603" width="16.7109375" style="238" bestFit="1" customWidth="1"/>
    <col min="3604" max="3605" width="12.28515625" style="238" bestFit="1" customWidth="1"/>
    <col min="3606" max="3850" width="11.42578125" style="238"/>
    <col min="3851" max="3851" width="0.7109375" style="238" customWidth="1"/>
    <col min="3852" max="3852" width="42.28515625" style="238" bestFit="1" customWidth="1"/>
    <col min="3853" max="3854" width="13.85546875" style="238" bestFit="1" customWidth="1"/>
    <col min="3855" max="3855" width="11.140625" style="238" bestFit="1" customWidth="1"/>
    <col min="3856" max="3856" width="13.85546875" style="238" bestFit="1" customWidth="1"/>
    <col min="3857" max="3857" width="3.7109375" style="238" bestFit="1" customWidth="1"/>
    <col min="3858" max="3858" width="7.5703125" style="238" bestFit="1" customWidth="1"/>
    <col min="3859" max="3859" width="16.7109375" style="238" bestFit="1" customWidth="1"/>
    <col min="3860" max="3861" width="12.28515625" style="238" bestFit="1" customWidth="1"/>
    <col min="3862" max="4106" width="11.42578125" style="238"/>
    <col min="4107" max="4107" width="0.7109375" style="238" customWidth="1"/>
    <col min="4108" max="4108" width="42.28515625" style="238" bestFit="1" customWidth="1"/>
    <col min="4109" max="4110" width="13.85546875" style="238" bestFit="1" customWidth="1"/>
    <col min="4111" max="4111" width="11.140625" style="238" bestFit="1" customWidth="1"/>
    <col min="4112" max="4112" width="13.85546875" style="238" bestFit="1" customWidth="1"/>
    <col min="4113" max="4113" width="3.7109375" style="238" bestFit="1" customWidth="1"/>
    <col min="4114" max="4114" width="7.5703125" style="238" bestFit="1" customWidth="1"/>
    <col min="4115" max="4115" width="16.7109375" style="238" bestFit="1" customWidth="1"/>
    <col min="4116" max="4117" width="12.28515625" style="238" bestFit="1" customWidth="1"/>
    <col min="4118" max="4362" width="11.42578125" style="238"/>
    <col min="4363" max="4363" width="0.7109375" style="238" customWidth="1"/>
    <col min="4364" max="4364" width="42.28515625" style="238" bestFit="1" customWidth="1"/>
    <col min="4365" max="4366" width="13.85546875" style="238" bestFit="1" customWidth="1"/>
    <col min="4367" max="4367" width="11.140625" style="238" bestFit="1" customWidth="1"/>
    <col min="4368" max="4368" width="13.85546875" style="238" bestFit="1" customWidth="1"/>
    <col min="4369" max="4369" width="3.7109375" style="238" bestFit="1" customWidth="1"/>
    <col min="4370" max="4370" width="7.5703125" style="238" bestFit="1" customWidth="1"/>
    <col min="4371" max="4371" width="16.7109375" style="238" bestFit="1" customWidth="1"/>
    <col min="4372" max="4373" width="12.28515625" style="238" bestFit="1" customWidth="1"/>
    <col min="4374" max="4618" width="11.42578125" style="238"/>
    <col min="4619" max="4619" width="0.7109375" style="238" customWidth="1"/>
    <col min="4620" max="4620" width="42.28515625" style="238" bestFit="1" customWidth="1"/>
    <col min="4621" max="4622" width="13.85546875" style="238" bestFit="1" customWidth="1"/>
    <col min="4623" max="4623" width="11.140625" style="238" bestFit="1" customWidth="1"/>
    <col min="4624" max="4624" width="13.85546875" style="238" bestFit="1" customWidth="1"/>
    <col min="4625" max="4625" width="3.7109375" style="238" bestFit="1" customWidth="1"/>
    <col min="4626" max="4626" width="7.5703125" style="238" bestFit="1" customWidth="1"/>
    <col min="4627" max="4627" width="16.7109375" style="238" bestFit="1" customWidth="1"/>
    <col min="4628" max="4629" width="12.28515625" style="238" bestFit="1" customWidth="1"/>
    <col min="4630" max="4874" width="11.42578125" style="238"/>
    <col min="4875" max="4875" width="0.7109375" style="238" customWidth="1"/>
    <col min="4876" max="4876" width="42.28515625" style="238" bestFit="1" customWidth="1"/>
    <col min="4877" max="4878" width="13.85546875" style="238" bestFit="1" customWidth="1"/>
    <col min="4879" max="4879" width="11.140625" style="238" bestFit="1" customWidth="1"/>
    <col min="4880" max="4880" width="13.85546875" style="238" bestFit="1" customWidth="1"/>
    <col min="4881" max="4881" width="3.7109375" style="238" bestFit="1" customWidth="1"/>
    <col min="4882" max="4882" width="7.5703125" style="238" bestFit="1" customWidth="1"/>
    <col min="4883" max="4883" width="16.7109375" style="238" bestFit="1" customWidth="1"/>
    <col min="4884" max="4885" width="12.28515625" style="238" bestFit="1" customWidth="1"/>
    <col min="4886" max="5130" width="11.42578125" style="238"/>
    <col min="5131" max="5131" width="0.7109375" style="238" customWidth="1"/>
    <col min="5132" max="5132" width="42.28515625" style="238" bestFit="1" customWidth="1"/>
    <col min="5133" max="5134" width="13.85546875" style="238" bestFit="1" customWidth="1"/>
    <col min="5135" max="5135" width="11.140625" style="238" bestFit="1" customWidth="1"/>
    <col min="5136" max="5136" width="13.85546875" style="238" bestFit="1" customWidth="1"/>
    <col min="5137" max="5137" width="3.7109375" style="238" bestFit="1" customWidth="1"/>
    <col min="5138" max="5138" width="7.5703125" style="238" bestFit="1" customWidth="1"/>
    <col min="5139" max="5139" width="16.7109375" style="238" bestFit="1" customWidth="1"/>
    <col min="5140" max="5141" width="12.28515625" style="238" bestFit="1" customWidth="1"/>
    <col min="5142" max="5386" width="11.42578125" style="238"/>
    <col min="5387" max="5387" width="0.7109375" style="238" customWidth="1"/>
    <col min="5388" max="5388" width="42.28515625" style="238" bestFit="1" customWidth="1"/>
    <col min="5389" max="5390" width="13.85546875" style="238" bestFit="1" customWidth="1"/>
    <col min="5391" max="5391" width="11.140625" style="238" bestFit="1" customWidth="1"/>
    <col min="5392" max="5392" width="13.85546875" style="238" bestFit="1" customWidth="1"/>
    <col min="5393" max="5393" width="3.7109375" style="238" bestFit="1" customWidth="1"/>
    <col min="5394" max="5394" width="7.5703125" style="238" bestFit="1" customWidth="1"/>
    <col min="5395" max="5395" width="16.7109375" style="238" bestFit="1" customWidth="1"/>
    <col min="5396" max="5397" width="12.28515625" style="238" bestFit="1" customWidth="1"/>
    <col min="5398" max="5642" width="11.42578125" style="238"/>
    <col min="5643" max="5643" width="0.7109375" style="238" customWidth="1"/>
    <col min="5644" max="5644" width="42.28515625" style="238" bestFit="1" customWidth="1"/>
    <col min="5645" max="5646" width="13.85546875" style="238" bestFit="1" customWidth="1"/>
    <col min="5647" max="5647" width="11.140625" style="238" bestFit="1" customWidth="1"/>
    <col min="5648" max="5648" width="13.85546875" style="238" bestFit="1" customWidth="1"/>
    <col min="5649" max="5649" width="3.7109375" style="238" bestFit="1" customWidth="1"/>
    <col min="5650" max="5650" width="7.5703125" style="238" bestFit="1" customWidth="1"/>
    <col min="5651" max="5651" width="16.7109375" style="238" bestFit="1" customWidth="1"/>
    <col min="5652" max="5653" width="12.28515625" style="238" bestFit="1" customWidth="1"/>
    <col min="5654" max="5898" width="11.42578125" style="238"/>
    <col min="5899" max="5899" width="0.7109375" style="238" customWidth="1"/>
    <col min="5900" max="5900" width="42.28515625" style="238" bestFit="1" customWidth="1"/>
    <col min="5901" max="5902" width="13.85546875" style="238" bestFit="1" customWidth="1"/>
    <col min="5903" max="5903" width="11.140625" style="238" bestFit="1" customWidth="1"/>
    <col min="5904" max="5904" width="13.85546875" style="238" bestFit="1" customWidth="1"/>
    <col min="5905" max="5905" width="3.7109375" style="238" bestFit="1" customWidth="1"/>
    <col min="5906" max="5906" width="7.5703125" style="238" bestFit="1" customWidth="1"/>
    <col min="5907" max="5907" width="16.7109375" style="238" bestFit="1" customWidth="1"/>
    <col min="5908" max="5909" width="12.28515625" style="238" bestFit="1" customWidth="1"/>
    <col min="5910" max="6154" width="11.42578125" style="238"/>
    <col min="6155" max="6155" width="0.7109375" style="238" customWidth="1"/>
    <col min="6156" max="6156" width="42.28515625" style="238" bestFit="1" customWidth="1"/>
    <col min="6157" max="6158" width="13.85546875" style="238" bestFit="1" customWidth="1"/>
    <col min="6159" max="6159" width="11.140625" style="238" bestFit="1" customWidth="1"/>
    <col min="6160" max="6160" width="13.85546875" style="238" bestFit="1" customWidth="1"/>
    <col min="6161" max="6161" width="3.7109375" style="238" bestFit="1" customWidth="1"/>
    <col min="6162" max="6162" width="7.5703125" style="238" bestFit="1" customWidth="1"/>
    <col min="6163" max="6163" width="16.7109375" style="238" bestFit="1" customWidth="1"/>
    <col min="6164" max="6165" width="12.28515625" style="238" bestFit="1" customWidth="1"/>
    <col min="6166" max="6410" width="11.42578125" style="238"/>
    <col min="6411" max="6411" width="0.7109375" style="238" customWidth="1"/>
    <col min="6412" max="6412" width="42.28515625" style="238" bestFit="1" customWidth="1"/>
    <col min="6413" max="6414" width="13.85546875" style="238" bestFit="1" customWidth="1"/>
    <col min="6415" max="6415" width="11.140625" style="238" bestFit="1" customWidth="1"/>
    <col min="6416" max="6416" width="13.85546875" style="238" bestFit="1" customWidth="1"/>
    <col min="6417" max="6417" width="3.7109375" style="238" bestFit="1" customWidth="1"/>
    <col min="6418" max="6418" width="7.5703125" style="238" bestFit="1" customWidth="1"/>
    <col min="6419" max="6419" width="16.7109375" style="238" bestFit="1" customWidth="1"/>
    <col min="6420" max="6421" width="12.28515625" style="238" bestFit="1" customWidth="1"/>
    <col min="6422" max="6666" width="11.42578125" style="238"/>
    <col min="6667" max="6667" width="0.7109375" style="238" customWidth="1"/>
    <col min="6668" max="6668" width="42.28515625" style="238" bestFit="1" customWidth="1"/>
    <col min="6669" max="6670" width="13.85546875" style="238" bestFit="1" customWidth="1"/>
    <col min="6671" max="6671" width="11.140625" style="238" bestFit="1" customWidth="1"/>
    <col min="6672" max="6672" width="13.85546875" style="238" bestFit="1" customWidth="1"/>
    <col min="6673" max="6673" width="3.7109375" style="238" bestFit="1" customWidth="1"/>
    <col min="6674" max="6674" width="7.5703125" style="238" bestFit="1" customWidth="1"/>
    <col min="6675" max="6675" width="16.7109375" style="238" bestFit="1" customWidth="1"/>
    <col min="6676" max="6677" width="12.28515625" style="238" bestFit="1" customWidth="1"/>
    <col min="6678" max="6922" width="11.42578125" style="238"/>
    <col min="6923" max="6923" width="0.7109375" style="238" customWidth="1"/>
    <col min="6924" max="6924" width="42.28515625" style="238" bestFit="1" customWidth="1"/>
    <col min="6925" max="6926" width="13.85546875" style="238" bestFit="1" customWidth="1"/>
    <col min="6927" max="6927" width="11.140625" style="238" bestFit="1" customWidth="1"/>
    <col min="6928" max="6928" width="13.85546875" style="238" bestFit="1" customWidth="1"/>
    <col min="6929" max="6929" width="3.7109375" style="238" bestFit="1" customWidth="1"/>
    <col min="6930" max="6930" width="7.5703125" style="238" bestFit="1" customWidth="1"/>
    <col min="6931" max="6931" width="16.7109375" style="238" bestFit="1" customWidth="1"/>
    <col min="6932" max="6933" width="12.28515625" style="238" bestFit="1" customWidth="1"/>
    <col min="6934" max="7178" width="11.42578125" style="238"/>
    <col min="7179" max="7179" width="0.7109375" style="238" customWidth="1"/>
    <col min="7180" max="7180" width="42.28515625" style="238" bestFit="1" customWidth="1"/>
    <col min="7181" max="7182" width="13.85546875" style="238" bestFit="1" customWidth="1"/>
    <col min="7183" max="7183" width="11.140625" style="238" bestFit="1" customWidth="1"/>
    <col min="7184" max="7184" width="13.85546875" style="238" bestFit="1" customWidth="1"/>
    <col min="7185" max="7185" width="3.7109375" style="238" bestFit="1" customWidth="1"/>
    <col min="7186" max="7186" width="7.5703125" style="238" bestFit="1" customWidth="1"/>
    <col min="7187" max="7187" width="16.7109375" style="238" bestFit="1" customWidth="1"/>
    <col min="7188" max="7189" width="12.28515625" style="238" bestFit="1" customWidth="1"/>
    <col min="7190" max="7434" width="11.42578125" style="238"/>
    <col min="7435" max="7435" width="0.7109375" style="238" customWidth="1"/>
    <col min="7436" max="7436" width="42.28515625" style="238" bestFit="1" customWidth="1"/>
    <col min="7437" max="7438" width="13.85546875" style="238" bestFit="1" customWidth="1"/>
    <col min="7439" max="7439" width="11.140625" style="238" bestFit="1" customWidth="1"/>
    <col min="7440" max="7440" width="13.85546875" style="238" bestFit="1" customWidth="1"/>
    <col min="7441" max="7441" width="3.7109375" style="238" bestFit="1" customWidth="1"/>
    <col min="7442" max="7442" width="7.5703125" style="238" bestFit="1" customWidth="1"/>
    <col min="7443" max="7443" width="16.7109375" style="238" bestFit="1" customWidth="1"/>
    <col min="7444" max="7445" width="12.28515625" style="238" bestFit="1" customWidth="1"/>
    <col min="7446" max="7690" width="11.42578125" style="238"/>
    <col min="7691" max="7691" width="0.7109375" style="238" customWidth="1"/>
    <col min="7692" max="7692" width="42.28515625" style="238" bestFit="1" customWidth="1"/>
    <col min="7693" max="7694" width="13.85546875" style="238" bestFit="1" customWidth="1"/>
    <col min="7695" max="7695" width="11.140625" style="238" bestFit="1" customWidth="1"/>
    <col min="7696" max="7696" width="13.85546875" style="238" bestFit="1" customWidth="1"/>
    <col min="7697" max="7697" width="3.7109375" style="238" bestFit="1" customWidth="1"/>
    <col min="7698" max="7698" width="7.5703125" style="238" bestFit="1" customWidth="1"/>
    <col min="7699" max="7699" width="16.7109375" style="238" bestFit="1" customWidth="1"/>
    <col min="7700" max="7701" width="12.28515625" style="238" bestFit="1" customWidth="1"/>
    <col min="7702" max="7946" width="11.42578125" style="238"/>
    <col min="7947" max="7947" width="0.7109375" style="238" customWidth="1"/>
    <col min="7948" max="7948" width="42.28515625" style="238" bestFit="1" customWidth="1"/>
    <col min="7949" max="7950" width="13.85546875" style="238" bestFit="1" customWidth="1"/>
    <col min="7951" max="7951" width="11.140625" style="238" bestFit="1" customWidth="1"/>
    <col min="7952" max="7952" width="13.85546875" style="238" bestFit="1" customWidth="1"/>
    <col min="7953" max="7953" width="3.7109375" style="238" bestFit="1" customWidth="1"/>
    <col min="7954" max="7954" width="7.5703125" style="238" bestFit="1" customWidth="1"/>
    <col min="7955" max="7955" width="16.7109375" style="238" bestFit="1" customWidth="1"/>
    <col min="7956" max="7957" width="12.28515625" style="238" bestFit="1" customWidth="1"/>
    <col min="7958" max="8202" width="11.42578125" style="238"/>
    <col min="8203" max="8203" width="0.7109375" style="238" customWidth="1"/>
    <col min="8204" max="8204" width="42.28515625" style="238" bestFit="1" customWidth="1"/>
    <col min="8205" max="8206" width="13.85546875" style="238" bestFit="1" customWidth="1"/>
    <col min="8207" max="8207" width="11.140625" style="238" bestFit="1" customWidth="1"/>
    <col min="8208" max="8208" width="13.85546875" style="238" bestFit="1" customWidth="1"/>
    <col min="8209" max="8209" width="3.7109375" style="238" bestFit="1" customWidth="1"/>
    <col min="8210" max="8210" width="7.5703125" style="238" bestFit="1" customWidth="1"/>
    <col min="8211" max="8211" width="16.7109375" style="238" bestFit="1" customWidth="1"/>
    <col min="8212" max="8213" width="12.28515625" style="238" bestFit="1" customWidth="1"/>
    <col min="8214" max="8458" width="11.42578125" style="238"/>
    <col min="8459" max="8459" width="0.7109375" style="238" customWidth="1"/>
    <col min="8460" max="8460" width="42.28515625" style="238" bestFit="1" customWidth="1"/>
    <col min="8461" max="8462" width="13.85546875" style="238" bestFit="1" customWidth="1"/>
    <col min="8463" max="8463" width="11.140625" style="238" bestFit="1" customWidth="1"/>
    <col min="8464" max="8464" width="13.85546875" style="238" bestFit="1" customWidth="1"/>
    <col min="8465" max="8465" width="3.7109375" style="238" bestFit="1" customWidth="1"/>
    <col min="8466" max="8466" width="7.5703125" style="238" bestFit="1" customWidth="1"/>
    <col min="8467" max="8467" width="16.7109375" style="238" bestFit="1" customWidth="1"/>
    <col min="8468" max="8469" width="12.28515625" style="238" bestFit="1" customWidth="1"/>
    <col min="8470" max="8714" width="11.42578125" style="238"/>
    <col min="8715" max="8715" width="0.7109375" style="238" customWidth="1"/>
    <col min="8716" max="8716" width="42.28515625" style="238" bestFit="1" customWidth="1"/>
    <col min="8717" max="8718" width="13.85546875" style="238" bestFit="1" customWidth="1"/>
    <col min="8719" max="8719" width="11.140625" style="238" bestFit="1" customWidth="1"/>
    <col min="8720" max="8720" width="13.85546875" style="238" bestFit="1" customWidth="1"/>
    <col min="8721" max="8721" width="3.7109375" style="238" bestFit="1" customWidth="1"/>
    <col min="8722" max="8722" width="7.5703125" style="238" bestFit="1" customWidth="1"/>
    <col min="8723" max="8723" width="16.7109375" style="238" bestFit="1" customWidth="1"/>
    <col min="8724" max="8725" width="12.28515625" style="238" bestFit="1" customWidth="1"/>
    <col min="8726" max="8970" width="11.42578125" style="238"/>
    <col min="8971" max="8971" width="0.7109375" style="238" customWidth="1"/>
    <col min="8972" max="8972" width="42.28515625" style="238" bestFit="1" customWidth="1"/>
    <col min="8973" max="8974" width="13.85546875" style="238" bestFit="1" customWidth="1"/>
    <col min="8975" max="8975" width="11.140625" style="238" bestFit="1" customWidth="1"/>
    <col min="8976" max="8976" width="13.85546875" style="238" bestFit="1" customWidth="1"/>
    <col min="8977" max="8977" width="3.7109375" style="238" bestFit="1" customWidth="1"/>
    <col min="8978" max="8978" width="7.5703125" style="238" bestFit="1" customWidth="1"/>
    <col min="8979" max="8979" width="16.7109375" style="238" bestFit="1" customWidth="1"/>
    <col min="8980" max="8981" width="12.28515625" style="238" bestFit="1" customWidth="1"/>
    <col min="8982" max="9226" width="11.42578125" style="238"/>
    <col min="9227" max="9227" width="0.7109375" style="238" customWidth="1"/>
    <col min="9228" max="9228" width="42.28515625" style="238" bestFit="1" customWidth="1"/>
    <col min="9229" max="9230" width="13.85546875" style="238" bestFit="1" customWidth="1"/>
    <col min="9231" max="9231" width="11.140625" style="238" bestFit="1" customWidth="1"/>
    <col min="9232" max="9232" width="13.85546875" style="238" bestFit="1" customWidth="1"/>
    <col min="9233" max="9233" width="3.7109375" style="238" bestFit="1" customWidth="1"/>
    <col min="9234" max="9234" width="7.5703125" style="238" bestFit="1" customWidth="1"/>
    <col min="9235" max="9235" width="16.7109375" style="238" bestFit="1" customWidth="1"/>
    <col min="9236" max="9237" width="12.28515625" style="238" bestFit="1" customWidth="1"/>
    <col min="9238" max="9482" width="11.42578125" style="238"/>
    <col min="9483" max="9483" width="0.7109375" style="238" customWidth="1"/>
    <col min="9484" max="9484" width="42.28515625" style="238" bestFit="1" customWidth="1"/>
    <col min="9485" max="9486" width="13.85546875" style="238" bestFit="1" customWidth="1"/>
    <col min="9487" max="9487" width="11.140625" style="238" bestFit="1" customWidth="1"/>
    <col min="9488" max="9488" width="13.85546875" style="238" bestFit="1" customWidth="1"/>
    <col min="9489" max="9489" width="3.7109375" style="238" bestFit="1" customWidth="1"/>
    <col min="9490" max="9490" width="7.5703125" style="238" bestFit="1" customWidth="1"/>
    <col min="9491" max="9491" width="16.7109375" style="238" bestFit="1" customWidth="1"/>
    <col min="9492" max="9493" width="12.28515625" style="238" bestFit="1" customWidth="1"/>
    <col min="9494" max="9738" width="11.42578125" style="238"/>
    <col min="9739" max="9739" width="0.7109375" style="238" customWidth="1"/>
    <col min="9740" max="9740" width="42.28515625" style="238" bestFit="1" customWidth="1"/>
    <col min="9741" max="9742" width="13.85546875" style="238" bestFit="1" customWidth="1"/>
    <col min="9743" max="9743" width="11.140625" style="238" bestFit="1" customWidth="1"/>
    <col min="9744" max="9744" width="13.85546875" style="238" bestFit="1" customWidth="1"/>
    <col min="9745" max="9745" width="3.7109375" style="238" bestFit="1" customWidth="1"/>
    <col min="9746" max="9746" width="7.5703125" style="238" bestFit="1" customWidth="1"/>
    <col min="9747" max="9747" width="16.7109375" style="238" bestFit="1" customWidth="1"/>
    <col min="9748" max="9749" width="12.28515625" style="238" bestFit="1" customWidth="1"/>
    <col min="9750" max="9994" width="11.42578125" style="238"/>
    <col min="9995" max="9995" width="0.7109375" style="238" customWidth="1"/>
    <col min="9996" max="9996" width="42.28515625" style="238" bestFit="1" customWidth="1"/>
    <col min="9997" max="9998" width="13.85546875" style="238" bestFit="1" customWidth="1"/>
    <col min="9999" max="9999" width="11.140625" style="238" bestFit="1" customWidth="1"/>
    <col min="10000" max="10000" width="13.85546875" style="238" bestFit="1" customWidth="1"/>
    <col min="10001" max="10001" width="3.7109375" style="238" bestFit="1" customWidth="1"/>
    <col min="10002" max="10002" width="7.5703125" style="238" bestFit="1" customWidth="1"/>
    <col min="10003" max="10003" width="16.7109375" style="238" bestFit="1" customWidth="1"/>
    <col min="10004" max="10005" width="12.28515625" style="238" bestFit="1" customWidth="1"/>
    <col min="10006" max="10250" width="11.42578125" style="238"/>
    <col min="10251" max="10251" width="0.7109375" style="238" customWidth="1"/>
    <col min="10252" max="10252" width="42.28515625" style="238" bestFit="1" customWidth="1"/>
    <col min="10253" max="10254" width="13.85546875" style="238" bestFit="1" customWidth="1"/>
    <col min="10255" max="10255" width="11.140625" style="238" bestFit="1" customWidth="1"/>
    <col min="10256" max="10256" width="13.85546875" style="238" bestFit="1" customWidth="1"/>
    <col min="10257" max="10257" width="3.7109375" style="238" bestFit="1" customWidth="1"/>
    <col min="10258" max="10258" width="7.5703125" style="238" bestFit="1" customWidth="1"/>
    <col min="10259" max="10259" width="16.7109375" style="238" bestFit="1" customWidth="1"/>
    <col min="10260" max="10261" width="12.28515625" style="238" bestFit="1" customWidth="1"/>
    <col min="10262" max="10506" width="11.42578125" style="238"/>
    <col min="10507" max="10507" width="0.7109375" style="238" customWidth="1"/>
    <col min="10508" max="10508" width="42.28515625" style="238" bestFit="1" customWidth="1"/>
    <col min="10509" max="10510" width="13.85546875" style="238" bestFit="1" customWidth="1"/>
    <col min="10511" max="10511" width="11.140625" style="238" bestFit="1" customWidth="1"/>
    <col min="10512" max="10512" width="13.85546875" style="238" bestFit="1" customWidth="1"/>
    <col min="10513" max="10513" width="3.7109375" style="238" bestFit="1" customWidth="1"/>
    <col min="10514" max="10514" width="7.5703125" style="238" bestFit="1" customWidth="1"/>
    <col min="10515" max="10515" width="16.7109375" style="238" bestFit="1" customWidth="1"/>
    <col min="10516" max="10517" width="12.28515625" style="238" bestFit="1" customWidth="1"/>
    <col min="10518" max="10762" width="11.42578125" style="238"/>
    <col min="10763" max="10763" width="0.7109375" style="238" customWidth="1"/>
    <col min="10764" max="10764" width="42.28515625" style="238" bestFit="1" customWidth="1"/>
    <col min="10765" max="10766" width="13.85546875" style="238" bestFit="1" customWidth="1"/>
    <col min="10767" max="10767" width="11.140625" style="238" bestFit="1" customWidth="1"/>
    <col min="10768" max="10768" width="13.85546875" style="238" bestFit="1" customWidth="1"/>
    <col min="10769" max="10769" width="3.7109375" style="238" bestFit="1" customWidth="1"/>
    <col min="10770" max="10770" width="7.5703125" style="238" bestFit="1" customWidth="1"/>
    <col min="10771" max="10771" width="16.7109375" style="238" bestFit="1" customWidth="1"/>
    <col min="10772" max="10773" width="12.28515625" style="238" bestFit="1" customWidth="1"/>
    <col min="10774" max="11018" width="11.42578125" style="238"/>
    <col min="11019" max="11019" width="0.7109375" style="238" customWidth="1"/>
    <col min="11020" max="11020" width="42.28515625" style="238" bestFit="1" customWidth="1"/>
    <col min="11021" max="11022" width="13.85546875" style="238" bestFit="1" customWidth="1"/>
    <col min="11023" max="11023" width="11.140625" style="238" bestFit="1" customWidth="1"/>
    <col min="11024" max="11024" width="13.85546875" style="238" bestFit="1" customWidth="1"/>
    <col min="11025" max="11025" width="3.7109375" style="238" bestFit="1" customWidth="1"/>
    <col min="11026" max="11026" width="7.5703125" style="238" bestFit="1" customWidth="1"/>
    <col min="11027" max="11027" width="16.7109375" style="238" bestFit="1" customWidth="1"/>
    <col min="11028" max="11029" width="12.28515625" style="238" bestFit="1" customWidth="1"/>
    <col min="11030" max="11274" width="11.42578125" style="238"/>
    <col min="11275" max="11275" width="0.7109375" style="238" customWidth="1"/>
    <col min="11276" max="11276" width="42.28515625" style="238" bestFit="1" customWidth="1"/>
    <col min="11277" max="11278" width="13.85546875" style="238" bestFit="1" customWidth="1"/>
    <col min="11279" max="11279" width="11.140625" style="238" bestFit="1" customWidth="1"/>
    <col min="11280" max="11280" width="13.85546875" style="238" bestFit="1" customWidth="1"/>
    <col min="11281" max="11281" width="3.7109375" style="238" bestFit="1" customWidth="1"/>
    <col min="11282" max="11282" width="7.5703125" style="238" bestFit="1" customWidth="1"/>
    <col min="11283" max="11283" width="16.7109375" style="238" bestFit="1" customWidth="1"/>
    <col min="11284" max="11285" width="12.28515625" style="238" bestFit="1" customWidth="1"/>
    <col min="11286" max="11530" width="11.42578125" style="238"/>
    <col min="11531" max="11531" width="0.7109375" style="238" customWidth="1"/>
    <col min="11532" max="11532" width="42.28515625" style="238" bestFit="1" customWidth="1"/>
    <col min="11533" max="11534" width="13.85546875" style="238" bestFit="1" customWidth="1"/>
    <col min="11535" max="11535" width="11.140625" style="238" bestFit="1" customWidth="1"/>
    <col min="11536" max="11536" width="13.85546875" style="238" bestFit="1" customWidth="1"/>
    <col min="11537" max="11537" width="3.7109375" style="238" bestFit="1" customWidth="1"/>
    <col min="11538" max="11538" width="7.5703125" style="238" bestFit="1" customWidth="1"/>
    <col min="11539" max="11539" width="16.7109375" style="238" bestFit="1" customWidth="1"/>
    <col min="11540" max="11541" width="12.28515625" style="238" bestFit="1" customWidth="1"/>
    <col min="11542" max="11786" width="11.42578125" style="238"/>
    <col min="11787" max="11787" width="0.7109375" style="238" customWidth="1"/>
    <col min="11788" max="11788" width="42.28515625" style="238" bestFit="1" customWidth="1"/>
    <col min="11789" max="11790" width="13.85546875" style="238" bestFit="1" customWidth="1"/>
    <col min="11791" max="11791" width="11.140625" style="238" bestFit="1" customWidth="1"/>
    <col min="11792" max="11792" width="13.85546875" style="238" bestFit="1" customWidth="1"/>
    <col min="11793" max="11793" width="3.7109375" style="238" bestFit="1" customWidth="1"/>
    <col min="11794" max="11794" width="7.5703125" style="238" bestFit="1" customWidth="1"/>
    <col min="11795" max="11795" width="16.7109375" style="238" bestFit="1" customWidth="1"/>
    <col min="11796" max="11797" width="12.28515625" style="238" bestFit="1" customWidth="1"/>
    <col min="11798" max="12042" width="11.42578125" style="238"/>
    <col min="12043" max="12043" width="0.7109375" style="238" customWidth="1"/>
    <col min="12044" max="12044" width="42.28515625" style="238" bestFit="1" customWidth="1"/>
    <col min="12045" max="12046" width="13.85546875" style="238" bestFit="1" customWidth="1"/>
    <col min="12047" max="12047" width="11.140625" style="238" bestFit="1" customWidth="1"/>
    <col min="12048" max="12048" width="13.85546875" style="238" bestFit="1" customWidth="1"/>
    <col min="12049" max="12049" width="3.7109375" style="238" bestFit="1" customWidth="1"/>
    <col min="12050" max="12050" width="7.5703125" style="238" bestFit="1" customWidth="1"/>
    <col min="12051" max="12051" width="16.7109375" style="238" bestFit="1" customWidth="1"/>
    <col min="12052" max="12053" width="12.28515625" style="238" bestFit="1" customWidth="1"/>
    <col min="12054" max="12298" width="11.42578125" style="238"/>
    <col min="12299" max="12299" width="0.7109375" style="238" customWidth="1"/>
    <col min="12300" max="12300" width="42.28515625" style="238" bestFit="1" customWidth="1"/>
    <col min="12301" max="12302" width="13.85546875" style="238" bestFit="1" customWidth="1"/>
    <col min="12303" max="12303" width="11.140625" style="238" bestFit="1" customWidth="1"/>
    <col min="12304" max="12304" width="13.85546875" style="238" bestFit="1" customWidth="1"/>
    <col min="12305" max="12305" width="3.7109375" style="238" bestFit="1" customWidth="1"/>
    <col min="12306" max="12306" width="7.5703125" style="238" bestFit="1" customWidth="1"/>
    <col min="12307" max="12307" width="16.7109375" style="238" bestFit="1" customWidth="1"/>
    <col min="12308" max="12309" width="12.28515625" style="238" bestFit="1" customWidth="1"/>
    <col min="12310" max="12554" width="11.42578125" style="238"/>
    <col min="12555" max="12555" width="0.7109375" style="238" customWidth="1"/>
    <col min="12556" max="12556" width="42.28515625" style="238" bestFit="1" customWidth="1"/>
    <col min="12557" max="12558" width="13.85546875" style="238" bestFit="1" customWidth="1"/>
    <col min="12559" max="12559" width="11.140625" style="238" bestFit="1" customWidth="1"/>
    <col min="12560" max="12560" width="13.85546875" style="238" bestFit="1" customWidth="1"/>
    <col min="12561" max="12561" width="3.7109375" style="238" bestFit="1" customWidth="1"/>
    <col min="12562" max="12562" width="7.5703125" style="238" bestFit="1" customWidth="1"/>
    <col min="12563" max="12563" width="16.7109375" style="238" bestFit="1" customWidth="1"/>
    <col min="12564" max="12565" width="12.28515625" style="238" bestFit="1" customWidth="1"/>
    <col min="12566" max="12810" width="11.42578125" style="238"/>
    <col min="12811" max="12811" width="0.7109375" style="238" customWidth="1"/>
    <col min="12812" max="12812" width="42.28515625" style="238" bestFit="1" customWidth="1"/>
    <col min="12813" max="12814" width="13.85546875" style="238" bestFit="1" customWidth="1"/>
    <col min="12815" max="12815" width="11.140625" style="238" bestFit="1" customWidth="1"/>
    <col min="12816" max="12816" width="13.85546875" style="238" bestFit="1" customWidth="1"/>
    <col min="12817" max="12817" width="3.7109375" style="238" bestFit="1" customWidth="1"/>
    <col min="12818" max="12818" width="7.5703125" style="238" bestFit="1" customWidth="1"/>
    <col min="12819" max="12819" width="16.7109375" style="238" bestFit="1" customWidth="1"/>
    <col min="12820" max="12821" width="12.28515625" style="238" bestFit="1" customWidth="1"/>
    <col min="12822" max="13066" width="11.42578125" style="238"/>
    <col min="13067" max="13067" width="0.7109375" style="238" customWidth="1"/>
    <col min="13068" max="13068" width="42.28515625" style="238" bestFit="1" customWidth="1"/>
    <col min="13069" max="13070" width="13.85546875" style="238" bestFit="1" customWidth="1"/>
    <col min="13071" max="13071" width="11.140625" style="238" bestFit="1" customWidth="1"/>
    <col min="13072" max="13072" width="13.85546875" style="238" bestFit="1" customWidth="1"/>
    <col min="13073" max="13073" width="3.7109375" style="238" bestFit="1" customWidth="1"/>
    <col min="13074" max="13074" width="7.5703125" style="238" bestFit="1" customWidth="1"/>
    <col min="13075" max="13075" width="16.7109375" style="238" bestFit="1" customWidth="1"/>
    <col min="13076" max="13077" width="12.28515625" style="238" bestFit="1" customWidth="1"/>
    <col min="13078" max="13322" width="11.42578125" style="238"/>
    <col min="13323" max="13323" width="0.7109375" style="238" customWidth="1"/>
    <col min="13324" max="13324" width="42.28515625" style="238" bestFit="1" customWidth="1"/>
    <col min="13325" max="13326" width="13.85546875" style="238" bestFit="1" customWidth="1"/>
    <col min="13327" max="13327" width="11.140625" style="238" bestFit="1" customWidth="1"/>
    <col min="13328" max="13328" width="13.85546875" style="238" bestFit="1" customWidth="1"/>
    <col min="13329" max="13329" width="3.7109375" style="238" bestFit="1" customWidth="1"/>
    <col min="13330" max="13330" width="7.5703125" style="238" bestFit="1" customWidth="1"/>
    <col min="13331" max="13331" width="16.7109375" style="238" bestFit="1" customWidth="1"/>
    <col min="13332" max="13333" width="12.28515625" style="238" bestFit="1" customWidth="1"/>
    <col min="13334" max="13578" width="11.42578125" style="238"/>
    <col min="13579" max="13579" width="0.7109375" style="238" customWidth="1"/>
    <col min="13580" max="13580" width="42.28515625" style="238" bestFit="1" customWidth="1"/>
    <col min="13581" max="13582" width="13.85546875" style="238" bestFit="1" customWidth="1"/>
    <col min="13583" max="13583" width="11.140625" style="238" bestFit="1" customWidth="1"/>
    <col min="13584" max="13584" width="13.85546875" style="238" bestFit="1" customWidth="1"/>
    <col min="13585" max="13585" width="3.7109375" style="238" bestFit="1" customWidth="1"/>
    <col min="13586" max="13586" width="7.5703125" style="238" bestFit="1" customWidth="1"/>
    <col min="13587" max="13587" width="16.7109375" style="238" bestFit="1" customWidth="1"/>
    <col min="13588" max="13589" width="12.28515625" style="238" bestFit="1" customWidth="1"/>
    <col min="13590" max="13834" width="11.42578125" style="238"/>
    <col min="13835" max="13835" width="0.7109375" style="238" customWidth="1"/>
    <col min="13836" max="13836" width="42.28515625" style="238" bestFit="1" customWidth="1"/>
    <col min="13837" max="13838" width="13.85546875" style="238" bestFit="1" customWidth="1"/>
    <col min="13839" max="13839" width="11.140625" style="238" bestFit="1" customWidth="1"/>
    <col min="13840" max="13840" width="13.85546875" style="238" bestFit="1" customWidth="1"/>
    <col min="13841" max="13841" width="3.7109375" style="238" bestFit="1" customWidth="1"/>
    <col min="13842" max="13842" width="7.5703125" style="238" bestFit="1" customWidth="1"/>
    <col min="13843" max="13843" width="16.7109375" style="238" bestFit="1" customWidth="1"/>
    <col min="13844" max="13845" width="12.28515625" style="238" bestFit="1" customWidth="1"/>
    <col min="13846" max="14090" width="11.42578125" style="238"/>
    <col min="14091" max="14091" width="0.7109375" style="238" customWidth="1"/>
    <col min="14092" max="14092" width="42.28515625" style="238" bestFit="1" customWidth="1"/>
    <col min="14093" max="14094" width="13.85546875" style="238" bestFit="1" customWidth="1"/>
    <col min="14095" max="14095" width="11.140625" style="238" bestFit="1" customWidth="1"/>
    <col min="14096" max="14096" width="13.85546875" style="238" bestFit="1" customWidth="1"/>
    <col min="14097" max="14097" width="3.7109375" style="238" bestFit="1" customWidth="1"/>
    <col min="14098" max="14098" width="7.5703125" style="238" bestFit="1" customWidth="1"/>
    <col min="14099" max="14099" width="16.7109375" style="238" bestFit="1" customWidth="1"/>
    <col min="14100" max="14101" width="12.28515625" style="238" bestFit="1" customWidth="1"/>
    <col min="14102" max="14346" width="11.42578125" style="238"/>
    <col min="14347" max="14347" width="0.7109375" style="238" customWidth="1"/>
    <col min="14348" max="14348" width="42.28515625" style="238" bestFit="1" customWidth="1"/>
    <col min="14349" max="14350" width="13.85546875" style="238" bestFit="1" customWidth="1"/>
    <col min="14351" max="14351" width="11.140625" style="238" bestFit="1" customWidth="1"/>
    <col min="14352" max="14352" width="13.85546875" style="238" bestFit="1" customWidth="1"/>
    <col min="14353" max="14353" width="3.7109375" style="238" bestFit="1" customWidth="1"/>
    <col min="14354" max="14354" width="7.5703125" style="238" bestFit="1" customWidth="1"/>
    <col min="14355" max="14355" width="16.7109375" style="238" bestFit="1" customWidth="1"/>
    <col min="14356" max="14357" width="12.28515625" style="238" bestFit="1" customWidth="1"/>
    <col min="14358" max="14602" width="11.42578125" style="238"/>
    <col min="14603" max="14603" width="0.7109375" style="238" customWidth="1"/>
    <col min="14604" max="14604" width="42.28515625" style="238" bestFit="1" customWidth="1"/>
    <col min="14605" max="14606" width="13.85546875" style="238" bestFit="1" customWidth="1"/>
    <col min="14607" max="14607" width="11.140625" style="238" bestFit="1" customWidth="1"/>
    <col min="14608" max="14608" width="13.85546875" style="238" bestFit="1" customWidth="1"/>
    <col min="14609" max="14609" width="3.7109375" style="238" bestFit="1" customWidth="1"/>
    <col min="14610" max="14610" width="7.5703125" style="238" bestFit="1" customWidth="1"/>
    <col min="14611" max="14611" width="16.7109375" style="238" bestFit="1" customWidth="1"/>
    <col min="14612" max="14613" width="12.28515625" style="238" bestFit="1" customWidth="1"/>
    <col min="14614" max="14858" width="11.42578125" style="238"/>
    <col min="14859" max="14859" width="0.7109375" style="238" customWidth="1"/>
    <col min="14860" max="14860" width="42.28515625" style="238" bestFit="1" customWidth="1"/>
    <col min="14861" max="14862" width="13.85546875" style="238" bestFit="1" customWidth="1"/>
    <col min="14863" max="14863" width="11.140625" style="238" bestFit="1" customWidth="1"/>
    <col min="14864" max="14864" width="13.85546875" style="238" bestFit="1" customWidth="1"/>
    <col min="14865" max="14865" width="3.7109375" style="238" bestFit="1" customWidth="1"/>
    <col min="14866" max="14866" width="7.5703125" style="238" bestFit="1" customWidth="1"/>
    <col min="14867" max="14867" width="16.7109375" style="238" bestFit="1" customWidth="1"/>
    <col min="14868" max="14869" width="12.28515625" style="238" bestFit="1" customWidth="1"/>
    <col min="14870" max="15114" width="11.42578125" style="238"/>
    <col min="15115" max="15115" width="0.7109375" style="238" customWidth="1"/>
    <col min="15116" max="15116" width="42.28515625" style="238" bestFit="1" customWidth="1"/>
    <col min="15117" max="15118" width="13.85546875" style="238" bestFit="1" customWidth="1"/>
    <col min="15119" max="15119" width="11.140625" style="238" bestFit="1" customWidth="1"/>
    <col min="15120" max="15120" width="13.85546875" style="238" bestFit="1" customWidth="1"/>
    <col min="15121" max="15121" width="3.7109375" style="238" bestFit="1" customWidth="1"/>
    <col min="15122" max="15122" width="7.5703125" style="238" bestFit="1" customWidth="1"/>
    <col min="15123" max="15123" width="16.7109375" style="238" bestFit="1" customWidth="1"/>
    <col min="15124" max="15125" width="12.28515625" style="238" bestFit="1" customWidth="1"/>
    <col min="15126" max="15370" width="11.42578125" style="238"/>
    <col min="15371" max="15371" width="0.7109375" style="238" customWidth="1"/>
    <col min="15372" max="15372" width="42.28515625" style="238" bestFit="1" customWidth="1"/>
    <col min="15373" max="15374" width="13.85546875" style="238" bestFit="1" customWidth="1"/>
    <col min="15375" max="15375" width="11.140625" style="238" bestFit="1" customWidth="1"/>
    <col min="15376" max="15376" width="13.85546875" style="238" bestFit="1" customWidth="1"/>
    <col min="15377" max="15377" width="3.7109375" style="238" bestFit="1" customWidth="1"/>
    <col min="15378" max="15378" width="7.5703125" style="238" bestFit="1" customWidth="1"/>
    <col min="15379" max="15379" width="16.7109375" style="238" bestFit="1" customWidth="1"/>
    <col min="15380" max="15381" width="12.28515625" style="238" bestFit="1" customWidth="1"/>
    <col min="15382" max="15626" width="11.42578125" style="238"/>
    <col min="15627" max="15627" width="0.7109375" style="238" customWidth="1"/>
    <col min="15628" max="15628" width="42.28515625" style="238" bestFit="1" customWidth="1"/>
    <col min="15629" max="15630" width="13.85546875" style="238" bestFit="1" customWidth="1"/>
    <col min="15631" max="15631" width="11.140625" style="238" bestFit="1" customWidth="1"/>
    <col min="15632" max="15632" width="13.85546875" style="238" bestFit="1" customWidth="1"/>
    <col min="15633" max="15633" width="3.7109375" style="238" bestFit="1" customWidth="1"/>
    <col min="15634" max="15634" width="7.5703125" style="238" bestFit="1" customWidth="1"/>
    <col min="15635" max="15635" width="16.7109375" style="238" bestFit="1" customWidth="1"/>
    <col min="15636" max="15637" width="12.28515625" style="238" bestFit="1" customWidth="1"/>
    <col min="15638" max="15882" width="11.42578125" style="238"/>
    <col min="15883" max="15883" width="0.7109375" style="238" customWidth="1"/>
    <col min="15884" max="15884" width="42.28515625" style="238" bestFit="1" customWidth="1"/>
    <col min="15885" max="15886" width="13.85546875" style="238" bestFit="1" customWidth="1"/>
    <col min="15887" max="15887" width="11.140625" style="238" bestFit="1" customWidth="1"/>
    <col min="15888" max="15888" width="13.85546875" style="238" bestFit="1" customWidth="1"/>
    <col min="15889" max="15889" width="3.7109375" style="238" bestFit="1" customWidth="1"/>
    <col min="15890" max="15890" width="7.5703125" style="238" bestFit="1" customWidth="1"/>
    <col min="15891" max="15891" width="16.7109375" style="238" bestFit="1" customWidth="1"/>
    <col min="15892" max="15893" width="12.28515625" style="238" bestFit="1" customWidth="1"/>
    <col min="15894" max="16138" width="11.42578125" style="238"/>
    <col min="16139" max="16139" width="0.7109375" style="238" customWidth="1"/>
    <col min="16140" max="16140" width="42.28515625" style="238" bestFit="1" customWidth="1"/>
    <col min="16141" max="16142" width="13.85546875" style="238" bestFit="1" customWidth="1"/>
    <col min="16143" max="16143" width="11.140625" style="238" bestFit="1" customWidth="1"/>
    <col min="16144" max="16144" width="13.85546875" style="238" bestFit="1" customWidth="1"/>
    <col min="16145" max="16145" width="3.7109375" style="238" bestFit="1" customWidth="1"/>
    <col min="16146" max="16146" width="7.5703125" style="238" bestFit="1" customWidth="1"/>
    <col min="16147" max="16147" width="16.7109375" style="238" bestFit="1" customWidth="1"/>
    <col min="16148" max="16149" width="12.28515625" style="238" bestFit="1" customWidth="1"/>
    <col min="16150" max="16384" width="11.42578125" style="238"/>
  </cols>
  <sheetData>
    <row r="2" spans="2:12" x14ac:dyDescent="0.25">
      <c r="B2" s="1524" t="s">
        <v>53</v>
      </c>
      <c r="C2" s="1525"/>
      <c r="D2" s="1525"/>
      <c r="E2" s="1525"/>
      <c r="F2" s="1525"/>
      <c r="G2" s="1525"/>
      <c r="H2" s="1526"/>
    </row>
    <row r="3" spans="2:12" x14ac:dyDescent="0.25">
      <c r="B3" s="1524" t="s">
        <v>54</v>
      </c>
      <c r="C3" s="1525"/>
      <c r="D3" s="1525"/>
      <c r="E3" s="1525"/>
      <c r="F3" s="1525"/>
      <c r="G3" s="1525"/>
      <c r="H3" s="1526"/>
    </row>
    <row r="4" spans="2:12" x14ac:dyDescent="0.25">
      <c r="B4" s="1524" t="s">
        <v>265</v>
      </c>
      <c r="C4" s="1525"/>
      <c r="D4" s="1525"/>
      <c r="E4" s="1525"/>
      <c r="F4" s="1525"/>
      <c r="G4" s="1525"/>
      <c r="H4" s="1526"/>
    </row>
    <row r="5" spans="2:12" x14ac:dyDescent="0.25">
      <c r="B5" s="1524" t="s">
        <v>55</v>
      </c>
      <c r="C5" s="1525"/>
      <c r="D5" s="1525"/>
      <c r="E5" s="1525"/>
      <c r="F5" s="1525"/>
      <c r="G5" s="1525"/>
      <c r="H5" s="1526"/>
    </row>
    <row r="6" spans="2:12" x14ac:dyDescent="0.25">
      <c r="B6" s="1526" t="s">
        <v>266</v>
      </c>
      <c r="C6" s="1525"/>
      <c r="D6" s="1525"/>
      <c r="E6" s="1525"/>
      <c r="F6" s="1525"/>
      <c r="G6" s="1525"/>
      <c r="H6" s="1526"/>
    </row>
    <row r="7" spans="2:12" ht="16.5" thickBot="1" x14ac:dyDescent="0.3">
      <c r="B7" s="239"/>
      <c r="C7" s="240"/>
      <c r="D7" s="240"/>
      <c r="E7" s="240"/>
      <c r="F7" s="240"/>
      <c r="G7" s="240"/>
      <c r="H7" s="482"/>
    </row>
    <row r="8" spans="2:12" x14ac:dyDescent="0.25">
      <c r="B8" s="1522" t="s">
        <v>56</v>
      </c>
      <c r="C8" s="241" t="s">
        <v>57</v>
      </c>
      <c r="D8" s="241" t="s">
        <v>58</v>
      </c>
      <c r="E8" s="241" t="s">
        <v>59</v>
      </c>
      <c r="F8" s="242" t="s">
        <v>178</v>
      </c>
      <c r="G8" s="1051" t="s">
        <v>179</v>
      </c>
      <c r="H8" s="243" t="s">
        <v>102</v>
      </c>
    </row>
    <row r="9" spans="2:12" ht="12.75" customHeight="1" thickBot="1" x14ac:dyDescent="0.3">
      <c r="B9" s="1523"/>
      <c r="C9" s="244" t="s">
        <v>267</v>
      </c>
      <c r="D9" s="244"/>
      <c r="E9" s="245"/>
      <c r="F9" s="246" t="s">
        <v>267</v>
      </c>
      <c r="G9" s="1052" t="s">
        <v>207</v>
      </c>
      <c r="H9" s="247" t="s">
        <v>268</v>
      </c>
    </row>
    <row r="10" spans="2:12" x14ac:dyDescent="0.25">
      <c r="B10" s="248" t="s">
        <v>60</v>
      </c>
      <c r="C10" s="249">
        <f>SUM(C11:C14)</f>
        <v>6166134982.0883675</v>
      </c>
      <c r="D10" s="249">
        <f>SUM(D11:D14)</f>
        <v>0</v>
      </c>
      <c r="E10" s="249">
        <f>SUM(E11:E14)</f>
        <v>0</v>
      </c>
      <c r="F10" s="250">
        <f>SUM(F11:F14)</f>
        <v>6166134982.0883675</v>
      </c>
      <c r="G10" s="251">
        <f>SUM(G11:G14)</f>
        <v>6129369439</v>
      </c>
      <c r="H10" s="1035">
        <f t="shared" ref="H10" si="0">+(F10-G10)/G10</f>
        <v>5.9982586225648879E-3</v>
      </c>
    </row>
    <row r="11" spans="2:12" x14ac:dyDescent="0.25">
      <c r="B11" s="252" t="s">
        <v>61</v>
      </c>
      <c r="C11" s="253">
        <f>+'INGRESOS RECAUDO 2019'!I9</f>
        <v>4643999999.5888014</v>
      </c>
      <c r="D11" s="254"/>
      <c r="E11" s="254"/>
      <c r="F11" s="255">
        <f t="shared" ref="F11:F17" si="1">SUM(C11:E11)</f>
        <v>4643999999.5888014</v>
      </c>
      <c r="G11" s="256">
        <v>4150000000</v>
      </c>
      <c r="H11" s="1036">
        <f>+(F11-G11)/G11</f>
        <v>0.11903614447922925</v>
      </c>
    </row>
    <row r="12" spans="2:12" x14ac:dyDescent="0.25">
      <c r="B12" s="252" t="s">
        <v>201</v>
      </c>
      <c r="C12" s="253">
        <f>+'INGRESOS Intereses Mora'!C23</f>
        <v>35000000</v>
      </c>
      <c r="D12" s="254"/>
      <c r="E12" s="254"/>
      <c r="F12" s="255">
        <f t="shared" si="1"/>
        <v>35000000</v>
      </c>
      <c r="G12" s="256">
        <v>43100000</v>
      </c>
      <c r="H12" s="1036">
        <f t="shared" ref="H12:H75" si="2">+(F12-G12)/G12</f>
        <v>-0.18793503480278423</v>
      </c>
    </row>
    <row r="13" spans="2:12" x14ac:dyDescent="0.25">
      <c r="B13" s="252" t="s">
        <v>62</v>
      </c>
      <c r="C13" s="253">
        <f>+'INGRESOS Intereses Mora'!D18</f>
        <v>10000000.467228532</v>
      </c>
      <c r="D13" s="257"/>
      <c r="E13" s="254"/>
      <c r="F13" s="407">
        <f t="shared" si="1"/>
        <v>10000000.467228532</v>
      </c>
      <c r="G13" s="256">
        <v>28000000</v>
      </c>
      <c r="H13" s="1036">
        <f t="shared" si="2"/>
        <v>-0.64285712617040958</v>
      </c>
    </row>
    <row r="14" spans="2:12" x14ac:dyDescent="0.25">
      <c r="B14" s="252" t="s">
        <v>109</v>
      </c>
      <c r="C14" s="253">
        <f>+G95</f>
        <v>1477134982.0323372</v>
      </c>
      <c r="D14" s="257"/>
      <c r="E14" s="254"/>
      <c r="F14" s="407">
        <f t="shared" si="1"/>
        <v>1477134982.0323372</v>
      </c>
      <c r="G14" s="408">
        <v>1908269439</v>
      </c>
      <c r="H14" s="1037">
        <f t="shared" si="2"/>
        <v>-0.22592955069992232</v>
      </c>
    </row>
    <row r="15" spans="2:12" x14ac:dyDescent="0.25">
      <c r="B15" s="259" t="s">
        <v>63</v>
      </c>
      <c r="C15" s="260">
        <f>+SUM(C16:C17)</f>
        <v>75395104.000249073</v>
      </c>
      <c r="D15" s="260">
        <f>+SUM(D16:D17)</f>
        <v>0</v>
      </c>
      <c r="E15" s="260">
        <f>+SUM(E16:E17)</f>
        <v>0</v>
      </c>
      <c r="F15" s="261">
        <f>+SUM(F16:F17)</f>
        <v>75395104.000249073</v>
      </c>
      <c r="G15" s="262">
        <f>+SUM(G16:G17)</f>
        <v>75877092</v>
      </c>
      <c r="H15" s="1038">
        <f t="shared" si="2"/>
        <v>-6.3522202425855632E-3</v>
      </c>
      <c r="L15" s="263"/>
    </row>
    <row r="16" spans="2:12" x14ac:dyDescent="0.25">
      <c r="B16" s="252" t="s">
        <v>64</v>
      </c>
      <c r="C16" s="254">
        <v>100000</v>
      </c>
      <c r="D16" s="254"/>
      <c r="E16" s="254"/>
      <c r="F16" s="255">
        <f t="shared" si="1"/>
        <v>100000</v>
      </c>
      <c r="G16" s="258">
        <v>1030755</v>
      </c>
      <c r="H16" s="1037">
        <f t="shared" si="2"/>
        <v>-0.90298373522321018</v>
      </c>
    </row>
    <row r="17" spans="2:22" x14ac:dyDescent="0.25">
      <c r="B17" s="252" t="s">
        <v>65</v>
      </c>
      <c r="C17" s="253">
        <f>+'INGRESOS intereses finan '!H41</f>
        <v>75295104.000249073</v>
      </c>
      <c r="D17" s="257"/>
      <c r="E17" s="254"/>
      <c r="F17" s="255">
        <f t="shared" si="1"/>
        <v>75295104.000249073</v>
      </c>
      <c r="G17" s="258">
        <v>74846337</v>
      </c>
      <c r="H17" s="1037">
        <f t="shared" si="2"/>
        <v>5.9958445294266425E-3</v>
      </c>
      <c r="L17" s="263"/>
    </row>
    <row r="18" spans="2:22" x14ac:dyDescent="0.25">
      <c r="B18" s="259" t="s">
        <v>66</v>
      </c>
      <c r="C18" s="260">
        <f>SUM(C10+C15)</f>
        <v>6241530086.0886164</v>
      </c>
      <c r="D18" s="260">
        <f>SUM(D10+D15+D16)</f>
        <v>0</v>
      </c>
      <c r="E18" s="260">
        <f>SUM(E10+E15+E16)</f>
        <v>0</v>
      </c>
      <c r="F18" s="261">
        <f>SUM(F10+F15)</f>
        <v>6241530086.0886164</v>
      </c>
      <c r="G18" s="262">
        <f>SUM(G10+G15)</f>
        <v>6205246531</v>
      </c>
      <c r="H18" s="1038">
        <f t="shared" si="2"/>
        <v>5.8472382857557691E-3</v>
      </c>
    </row>
    <row r="19" spans="2:22" x14ac:dyDescent="0.25">
      <c r="B19" s="264" t="s">
        <v>67</v>
      </c>
      <c r="C19" s="260"/>
      <c r="D19" s="260"/>
      <c r="E19" s="260"/>
      <c r="F19" s="261"/>
      <c r="G19" s="262"/>
      <c r="H19" s="1038"/>
    </row>
    <row r="20" spans="2:22" x14ac:dyDescent="0.25">
      <c r="B20" s="265" t="s">
        <v>68</v>
      </c>
      <c r="C20" s="260">
        <f>+C21+C33</f>
        <v>206671065.965</v>
      </c>
      <c r="D20" s="260">
        <f>+D21+D33</f>
        <v>0</v>
      </c>
      <c r="E20" s="260">
        <f>+E21+E33</f>
        <v>0</v>
      </c>
      <c r="F20" s="261">
        <f t="shared" ref="F20:F33" si="3">SUM(C20:E20)</f>
        <v>206671065.965</v>
      </c>
      <c r="G20" s="262">
        <f>+G21+G33</f>
        <v>177959596</v>
      </c>
      <c r="H20" s="1038">
        <f t="shared" si="2"/>
        <v>0.16133701475137088</v>
      </c>
    </row>
    <row r="21" spans="2:22" x14ac:dyDescent="0.25">
      <c r="B21" s="266" t="s">
        <v>49</v>
      </c>
      <c r="C21" s="260">
        <f>SUM(C22:C32)</f>
        <v>145699865.965</v>
      </c>
      <c r="D21" s="260">
        <f>SUM(D22:D32)</f>
        <v>0</v>
      </c>
      <c r="E21" s="260">
        <f>SUM(E22:E32)</f>
        <v>0</v>
      </c>
      <c r="F21" s="261">
        <f t="shared" si="3"/>
        <v>145699865.965</v>
      </c>
      <c r="G21" s="262">
        <f>SUM(G22:G32)</f>
        <v>137511132</v>
      </c>
      <c r="H21" s="1038">
        <f t="shared" si="2"/>
        <v>5.9549607700124262E-2</v>
      </c>
    </row>
    <row r="22" spans="2:22" x14ac:dyDescent="0.25">
      <c r="B22" s="267" t="s">
        <v>69</v>
      </c>
      <c r="C22" s="254">
        <f>+'Nomina 2019 PLANTA'!I9</f>
        <v>42144166</v>
      </c>
      <c r="D22" s="254"/>
      <c r="E22" s="254"/>
      <c r="F22" s="255">
        <f t="shared" ref="F22:F32" si="4">SUM(C22:E22)</f>
        <v>42144166</v>
      </c>
      <c r="G22" s="268">
        <v>40719002</v>
      </c>
      <c r="H22" s="1039">
        <f t="shared" si="2"/>
        <v>3.4999973722342211E-2</v>
      </c>
    </row>
    <row r="23" spans="2:22" x14ac:dyDescent="0.25">
      <c r="B23" s="267" t="s">
        <v>70</v>
      </c>
      <c r="C23" s="254">
        <f>+'Nomina 2019 PLANTA'!M9</f>
        <v>1756007</v>
      </c>
      <c r="D23" s="254"/>
      <c r="E23" s="254"/>
      <c r="F23" s="255">
        <f t="shared" si="4"/>
        <v>1756007</v>
      </c>
      <c r="G23" s="258">
        <v>1696625</v>
      </c>
      <c r="H23" s="1037">
        <f t="shared" si="2"/>
        <v>3.5000073675679658E-2</v>
      </c>
    </row>
    <row r="24" spans="2:22" x14ac:dyDescent="0.25">
      <c r="B24" s="269" t="s">
        <v>97</v>
      </c>
      <c r="C24" s="270">
        <f>+'Nomina 2019 PLANTA'!G53</f>
        <v>1108371.2150000001</v>
      </c>
      <c r="D24" s="254"/>
      <c r="E24" s="254"/>
      <c r="F24" s="255">
        <f t="shared" si="4"/>
        <v>1108371.2150000001</v>
      </c>
      <c r="G24" s="258">
        <v>1055592</v>
      </c>
      <c r="H24" s="1037">
        <f t="shared" si="2"/>
        <v>4.9999635275750562E-2</v>
      </c>
      <c r="V24" s="271"/>
    </row>
    <row r="25" spans="2:22" x14ac:dyDescent="0.25">
      <c r="B25" s="267" t="s">
        <v>71</v>
      </c>
      <c r="C25" s="254">
        <f>+'Nomina 2019 PLANTA'!L9</f>
        <v>3604378</v>
      </c>
      <c r="D25" s="254"/>
      <c r="E25" s="254"/>
      <c r="F25" s="255">
        <f t="shared" si="4"/>
        <v>3604378</v>
      </c>
      <c r="G25" s="258">
        <v>3481215</v>
      </c>
      <c r="H25" s="1037">
        <f t="shared" si="2"/>
        <v>3.5379314406033528E-2</v>
      </c>
    </row>
    <row r="26" spans="2:22" x14ac:dyDescent="0.25">
      <c r="B26" s="267" t="s">
        <v>50</v>
      </c>
      <c r="C26" s="254">
        <f>+'FUNCIONAMIENTO '!E9+'FUNCIONAMIENTO '!E10</f>
        <v>79552000</v>
      </c>
      <c r="D26" s="254"/>
      <c r="E26" s="254"/>
      <c r="F26" s="255">
        <f t="shared" si="4"/>
        <v>79552000</v>
      </c>
      <c r="G26" s="258">
        <v>73620333</v>
      </c>
      <c r="H26" s="1037">
        <f t="shared" si="2"/>
        <v>8.0571042785150135E-2</v>
      </c>
    </row>
    <row r="27" spans="2:22" x14ac:dyDescent="0.25">
      <c r="B27" s="267" t="s">
        <v>72</v>
      </c>
      <c r="C27" s="254">
        <f>+'Nomina 2019 PLANTA'!U9</f>
        <v>683565.75</v>
      </c>
      <c r="D27" s="254"/>
      <c r="E27" s="254"/>
      <c r="F27" s="255">
        <f t="shared" si="4"/>
        <v>683565.75</v>
      </c>
      <c r="G27" s="258">
        <v>658150</v>
      </c>
      <c r="H27" s="1037">
        <f t="shared" si="2"/>
        <v>3.8616956620831117E-2</v>
      </c>
    </row>
    <row r="28" spans="2:22" x14ac:dyDescent="0.25">
      <c r="B28" s="267" t="s">
        <v>73</v>
      </c>
      <c r="C28" s="254">
        <f>+'Nomina 2019 PLANTA'!J9</f>
        <v>3604378</v>
      </c>
      <c r="D28" s="254"/>
      <c r="E28" s="254"/>
      <c r="F28" s="255">
        <f t="shared" si="4"/>
        <v>3604378</v>
      </c>
      <c r="G28" s="258">
        <v>3481215</v>
      </c>
      <c r="H28" s="1037">
        <f t="shared" si="2"/>
        <v>3.5379314406033528E-2</v>
      </c>
    </row>
    <row r="29" spans="2:22" x14ac:dyDescent="0.25">
      <c r="B29" s="267" t="s">
        <v>74</v>
      </c>
      <c r="C29" s="254">
        <f>+'Nomina 2019 PLANTA'!K9</f>
        <v>433000</v>
      </c>
      <c r="D29" s="254"/>
      <c r="E29" s="254"/>
      <c r="F29" s="255">
        <f t="shared" si="4"/>
        <v>433000</v>
      </c>
      <c r="G29" s="258">
        <v>418000</v>
      </c>
      <c r="H29" s="1037">
        <f t="shared" si="2"/>
        <v>3.5885167464114832E-2</v>
      </c>
    </row>
    <row r="30" spans="2:22" x14ac:dyDescent="0.25">
      <c r="B30" s="267" t="s">
        <v>75</v>
      </c>
      <c r="C30" s="254">
        <f>+'Nomina 2019 PLANTA'!N9+'Nomina 2019 PLANTA'!O9+'Nomina 2019 PLANTA'!P9</f>
        <v>8863000</v>
      </c>
      <c r="D30" s="254"/>
      <c r="E30" s="254"/>
      <c r="F30" s="255">
        <f t="shared" si="4"/>
        <v>8863000</v>
      </c>
      <c r="G30" s="258">
        <v>8563000</v>
      </c>
      <c r="H30" s="1037">
        <f t="shared" si="2"/>
        <v>3.5034450543033981E-2</v>
      </c>
    </row>
    <row r="31" spans="2:22" x14ac:dyDescent="0.25">
      <c r="B31" s="267" t="s">
        <v>76</v>
      </c>
      <c r="C31" s="254">
        <f>+'Nomina 2019 PLANTA'!Q9</f>
        <v>1756000</v>
      </c>
      <c r="D31" s="254"/>
      <c r="E31" s="254"/>
      <c r="F31" s="255">
        <f t="shared" si="4"/>
        <v>1756000</v>
      </c>
      <c r="G31" s="258">
        <v>1697000</v>
      </c>
      <c r="H31" s="1037">
        <f t="shared" si="2"/>
        <v>3.47672362993518E-2</v>
      </c>
    </row>
    <row r="32" spans="2:22" x14ac:dyDescent="0.25">
      <c r="B32" s="267" t="s">
        <v>77</v>
      </c>
      <c r="C32" s="254">
        <f>+'Nomina 2019 PLANTA'!R9+'Nomina 2019 PLANTA'!S9</f>
        <v>2195000</v>
      </c>
      <c r="D32" s="254"/>
      <c r="E32" s="254"/>
      <c r="F32" s="255">
        <f t="shared" si="4"/>
        <v>2195000</v>
      </c>
      <c r="G32" s="272">
        <v>2121000</v>
      </c>
      <c r="H32" s="1040">
        <f t="shared" si="2"/>
        <v>3.4889203206034891E-2</v>
      </c>
    </row>
    <row r="33" spans="2:21" x14ac:dyDescent="0.25">
      <c r="B33" s="266" t="s">
        <v>51</v>
      </c>
      <c r="C33" s="273">
        <f>SUM(C34:C47)</f>
        <v>60971200</v>
      </c>
      <c r="D33" s="273">
        <f>SUM(D34:D47)</f>
        <v>0</v>
      </c>
      <c r="E33" s="273">
        <f>SUM(E34:E47)</f>
        <v>0</v>
      </c>
      <c r="F33" s="261">
        <f t="shared" si="3"/>
        <v>60971200</v>
      </c>
      <c r="G33" s="274">
        <f>SUM(G34:G47)</f>
        <v>40448464</v>
      </c>
      <c r="H33" s="1038">
        <f t="shared" si="2"/>
        <v>0.50737985996204948</v>
      </c>
    </row>
    <row r="34" spans="2:21" x14ac:dyDescent="0.25">
      <c r="B34" s="267" t="s">
        <v>32</v>
      </c>
      <c r="C34" s="270">
        <f>+'FUNCIONAMIENTO '!E12</f>
        <v>7311200</v>
      </c>
      <c r="D34" s="254"/>
      <c r="E34" s="254"/>
      <c r="F34" s="255">
        <f t="shared" ref="F34:F47" si="5">SUM(C34:E34)</f>
        <v>7311200</v>
      </c>
      <c r="G34" s="268">
        <v>2480000</v>
      </c>
      <c r="H34" s="1039">
        <f t="shared" si="2"/>
        <v>1.9480645161290322</v>
      </c>
    </row>
    <row r="35" spans="2:21" x14ac:dyDescent="0.25">
      <c r="B35" s="267" t="s">
        <v>78</v>
      </c>
      <c r="C35" s="270">
        <v>0</v>
      </c>
      <c r="D35" s="254"/>
      <c r="E35" s="254"/>
      <c r="F35" s="255">
        <f t="shared" si="5"/>
        <v>0</v>
      </c>
      <c r="G35" s="258">
        <v>0</v>
      </c>
      <c r="H35" s="1037" t="e">
        <f t="shared" si="2"/>
        <v>#DIV/0!</v>
      </c>
    </row>
    <row r="36" spans="2:21" x14ac:dyDescent="0.25">
      <c r="B36" s="267" t="s">
        <v>79</v>
      </c>
      <c r="C36" s="270">
        <f>+'FUNCIONAMIENTO '!E23</f>
        <v>1367400</v>
      </c>
      <c r="D36" s="254"/>
      <c r="E36" s="254"/>
      <c r="F36" s="255">
        <f t="shared" si="5"/>
        <v>1367400</v>
      </c>
      <c r="G36" s="258">
        <v>1320900</v>
      </c>
      <c r="H36" s="1037">
        <f t="shared" si="2"/>
        <v>3.5203270497388146E-2</v>
      </c>
    </row>
    <row r="37" spans="2:21" x14ac:dyDescent="0.25">
      <c r="B37" s="267" t="s">
        <v>34</v>
      </c>
      <c r="C37" s="270">
        <v>0</v>
      </c>
      <c r="D37" s="254"/>
      <c r="E37" s="254"/>
      <c r="F37" s="255">
        <f t="shared" si="5"/>
        <v>0</v>
      </c>
      <c r="G37" s="258">
        <v>0</v>
      </c>
      <c r="H37" s="1037" t="e">
        <f t="shared" si="2"/>
        <v>#DIV/0!</v>
      </c>
    </row>
    <row r="38" spans="2:21" x14ac:dyDescent="0.25">
      <c r="B38" s="267" t="s">
        <v>35</v>
      </c>
      <c r="C38" s="270">
        <v>0</v>
      </c>
      <c r="D38" s="254"/>
      <c r="E38" s="254"/>
      <c r="F38" s="255">
        <f t="shared" si="5"/>
        <v>0</v>
      </c>
      <c r="G38" s="258">
        <v>0</v>
      </c>
      <c r="H38" s="1037" t="e">
        <f t="shared" si="2"/>
        <v>#DIV/0!</v>
      </c>
    </row>
    <row r="39" spans="2:21" x14ac:dyDescent="0.25">
      <c r="B39" s="267" t="s">
        <v>36</v>
      </c>
      <c r="C39" s="270">
        <f>+'FUNCIONAMIENTO '!E27</f>
        <v>160000</v>
      </c>
      <c r="D39" s="254"/>
      <c r="E39" s="254"/>
      <c r="F39" s="255">
        <f t="shared" si="5"/>
        <v>160000</v>
      </c>
      <c r="G39" s="258">
        <v>0</v>
      </c>
      <c r="H39" s="1037">
        <v>1</v>
      </c>
    </row>
    <row r="40" spans="2:21" x14ac:dyDescent="0.25">
      <c r="B40" s="267" t="s">
        <v>80</v>
      </c>
      <c r="C40" s="270">
        <v>0</v>
      </c>
      <c r="D40" s="254"/>
      <c r="E40" s="254"/>
      <c r="F40" s="255">
        <f t="shared" si="5"/>
        <v>0</v>
      </c>
      <c r="G40" s="258">
        <v>0</v>
      </c>
      <c r="H40" s="1037" t="e">
        <f t="shared" si="2"/>
        <v>#DIV/0!</v>
      </c>
    </row>
    <row r="41" spans="2:21" x14ac:dyDescent="0.25">
      <c r="B41" s="267" t="s">
        <v>37</v>
      </c>
      <c r="C41" s="270">
        <f>+'FUNCIONAMIENTO '!E19</f>
        <v>1200000</v>
      </c>
      <c r="D41" s="254"/>
      <c r="E41" s="254"/>
      <c r="F41" s="255">
        <f>SUM(C41:E41)</f>
        <v>1200000</v>
      </c>
      <c r="G41" s="258">
        <v>1250942</v>
      </c>
      <c r="H41" s="1037">
        <f t="shared" si="2"/>
        <v>-4.072291121410905E-2</v>
      </c>
    </row>
    <row r="42" spans="2:21" x14ac:dyDescent="0.25">
      <c r="B42" s="267" t="s">
        <v>434</v>
      </c>
      <c r="C42" s="270">
        <f>+'FUNCIONAMIENTO '!E21</f>
        <v>30000</v>
      </c>
      <c r="D42" s="254"/>
      <c r="E42" s="254"/>
      <c r="F42" s="255">
        <f t="shared" si="5"/>
        <v>30000</v>
      </c>
      <c r="G42" s="258">
        <v>0</v>
      </c>
      <c r="H42" s="1037">
        <v>1</v>
      </c>
    </row>
    <row r="43" spans="2:21" x14ac:dyDescent="0.25">
      <c r="B43" s="267" t="s">
        <v>81</v>
      </c>
      <c r="C43" s="270">
        <v>0</v>
      </c>
      <c r="D43" s="254"/>
      <c r="E43" s="254"/>
      <c r="F43" s="255">
        <f t="shared" si="5"/>
        <v>0</v>
      </c>
      <c r="G43" s="258">
        <v>0</v>
      </c>
      <c r="H43" s="1037" t="e">
        <f t="shared" si="2"/>
        <v>#DIV/0!</v>
      </c>
    </row>
    <row r="44" spans="2:21" x14ac:dyDescent="0.25">
      <c r="B44" s="267" t="s">
        <v>82</v>
      </c>
      <c r="C44" s="270">
        <v>0</v>
      </c>
      <c r="D44" s="254"/>
      <c r="E44" s="254"/>
      <c r="F44" s="255">
        <f t="shared" si="5"/>
        <v>0</v>
      </c>
      <c r="G44" s="258">
        <v>0</v>
      </c>
      <c r="H44" s="1037" t="e">
        <f t="shared" si="2"/>
        <v>#DIV/0!</v>
      </c>
    </row>
    <row r="45" spans="2:21" x14ac:dyDescent="0.25">
      <c r="B45" s="267" t="s">
        <v>83</v>
      </c>
      <c r="C45" s="270">
        <f>+'FUNCIONAMIENTO '!E26</f>
        <v>4101600</v>
      </c>
      <c r="D45" s="254"/>
      <c r="E45" s="254"/>
      <c r="F45" s="255">
        <f t="shared" si="5"/>
        <v>4101600</v>
      </c>
      <c r="G45" s="258">
        <v>3962712</v>
      </c>
      <c r="H45" s="1037">
        <f t="shared" si="2"/>
        <v>3.5048724207058193E-2</v>
      </c>
    </row>
    <row r="46" spans="2:21" x14ac:dyDescent="0.25">
      <c r="B46" s="267" t="s">
        <v>52</v>
      </c>
      <c r="C46" s="270">
        <f>+'FUNCIONAMIENTO '!E41</f>
        <v>14000000</v>
      </c>
      <c r="D46" s="254"/>
      <c r="E46" s="254"/>
      <c r="F46" s="255">
        <f t="shared" si="5"/>
        <v>14000000</v>
      </c>
      <c r="G46" s="258">
        <v>6500000</v>
      </c>
      <c r="H46" s="1037">
        <f t="shared" si="2"/>
        <v>1.1538461538461537</v>
      </c>
    </row>
    <row r="47" spans="2:21" ht="16.5" thickBot="1" x14ac:dyDescent="0.3">
      <c r="B47" s="275" t="s">
        <v>84</v>
      </c>
      <c r="C47" s="276">
        <f>+'FUNCIONAMIENTO '!E29</f>
        <v>32801000</v>
      </c>
      <c r="D47" s="277"/>
      <c r="E47" s="277"/>
      <c r="F47" s="255">
        <f t="shared" si="5"/>
        <v>32801000</v>
      </c>
      <c r="G47" s="1422">
        <v>24933910</v>
      </c>
      <c r="H47" s="1037">
        <f t="shared" si="2"/>
        <v>0.31551770259858963</v>
      </c>
      <c r="T47" s="271"/>
      <c r="U47" s="271"/>
    </row>
    <row r="48" spans="2:21" ht="16.5" thickBot="1" x14ac:dyDescent="0.3">
      <c r="B48" s="278" t="s">
        <v>565</v>
      </c>
      <c r="C48" s="279">
        <f>+C49</f>
        <v>467899999.95888019</v>
      </c>
      <c r="D48" s="279">
        <f>+D49</f>
        <v>0</v>
      </c>
      <c r="E48" s="279">
        <f>+E49</f>
        <v>0</v>
      </c>
      <c r="F48" s="280">
        <f>+F49</f>
        <v>467899999.95888019</v>
      </c>
      <c r="G48" s="281">
        <f>+G49</f>
        <v>419310000</v>
      </c>
      <c r="H48" s="1041">
        <f t="shared" si="2"/>
        <v>0.11588085177763513</v>
      </c>
    </row>
    <row r="49" spans="2:24" x14ac:dyDescent="0.25">
      <c r="B49" s="282" t="s">
        <v>85</v>
      </c>
      <c r="C49" s="283">
        <f>(+C11+C12)*10%</f>
        <v>467899999.95888019</v>
      </c>
      <c r="D49" s="283">
        <f t="shared" ref="D49:E49" si="6">(+D11+D12)*10%</f>
        <v>0</v>
      </c>
      <c r="E49" s="283">
        <f t="shared" si="6"/>
        <v>0</v>
      </c>
      <c r="F49" s="284">
        <f>(+F11+F12)*10%</f>
        <v>467899999.95888019</v>
      </c>
      <c r="G49" s="283">
        <f>(+G11+G12)*10%</f>
        <v>419310000</v>
      </c>
      <c r="H49" s="1042">
        <f t="shared" si="2"/>
        <v>0.11588085177763513</v>
      </c>
    </row>
    <row r="50" spans="2:24" x14ac:dyDescent="0.25">
      <c r="B50" s="265" t="s">
        <v>566</v>
      </c>
      <c r="C50" s="260" t="e">
        <f>+C51+C63+C80</f>
        <v>#REF!</v>
      </c>
      <c r="D50" s="260">
        <f t="shared" ref="D50:E50" si="7">+D51+D63+D80</f>
        <v>0</v>
      </c>
      <c r="E50" s="260">
        <f t="shared" si="7"/>
        <v>0</v>
      </c>
      <c r="F50" s="261" t="e">
        <f>+F51+F63+F80</f>
        <v>#REF!</v>
      </c>
      <c r="G50" s="262">
        <f>+G51+G63+G80</f>
        <v>4130841952.9676633</v>
      </c>
      <c r="H50" s="1038" t="e">
        <f t="shared" si="2"/>
        <v>#REF!</v>
      </c>
      <c r="T50" s="311"/>
      <c r="W50" s="285"/>
      <c r="X50" s="286"/>
    </row>
    <row r="51" spans="2:24" x14ac:dyDescent="0.25">
      <c r="B51" s="266" t="s">
        <v>49</v>
      </c>
      <c r="C51" s="273">
        <f>SUM(C52:C62)</f>
        <v>893601289.89499998</v>
      </c>
      <c r="D51" s="273">
        <f>SUM(D52:D62)</f>
        <v>0</v>
      </c>
      <c r="E51" s="273">
        <f>SUM(E52:E62)</f>
        <v>0</v>
      </c>
      <c r="F51" s="287">
        <f>SUM(F52:F62)</f>
        <v>893601289.89499998</v>
      </c>
      <c r="G51" s="274">
        <f>SUM(G52:G62)</f>
        <v>1561456615.027663</v>
      </c>
      <c r="H51" s="1038">
        <f t="shared" si="2"/>
        <v>-0.42771302046123849</v>
      </c>
      <c r="T51" s="311"/>
      <c r="W51" s="271"/>
    </row>
    <row r="52" spans="2:24" x14ac:dyDescent="0.25">
      <c r="B52" s="269" t="s">
        <v>69</v>
      </c>
      <c r="C52" s="270">
        <f>+'Nomina 2019 PLANTA'!I54+5</f>
        <v>456316234</v>
      </c>
      <c r="D52" s="254"/>
      <c r="E52" s="270"/>
      <c r="F52" s="288">
        <f t="shared" ref="F52:F79" si="8">SUM(C52:E52)</f>
        <v>456316234</v>
      </c>
      <c r="G52" s="289">
        <v>969713449</v>
      </c>
      <c r="H52" s="1039">
        <f t="shared" si="2"/>
        <v>-0.52943188065446745</v>
      </c>
      <c r="T52" s="311"/>
    </row>
    <row r="53" spans="2:24" x14ac:dyDescent="0.25">
      <c r="B53" s="269" t="s">
        <v>70</v>
      </c>
      <c r="C53" s="270">
        <f>+'Nomina 2019 PLANTA'!M54</f>
        <v>18194015</v>
      </c>
      <c r="D53" s="254"/>
      <c r="E53" s="270"/>
      <c r="F53" s="288">
        <f t="shared" si="8"/>
        <v>18194015</v>
      </c>
      <c r="G53" s="290">
        <v>39622568</v>
      </c>
      <c r="H53" s="1037">
        <f t="shared" si="2"/>
        <v>-0.54081686477262148</v>
      </c>
      <c r="T53" s="311"/>
    </row>
    <row r="54" spans="2:24" x14ac:dyDescent="0.25">
      <c r="B54" s="269" t="s">
        <v>97</v>
      </c>
      <c r="C54" s="270">
        <f>+'Nomina 2019 PLANTA'!G54</f>
        <v>3325113.6450000005</v>
      </c>
      <c r="D54" s="254"/>
      <c r="E54" s="270"/>
      <c r="F54" s="288">
        <f t="shared" si="8"/>
        <v>3325113.6450000005</v>
      </c>
      <c r="G54" s="290">
        <v>2110450</v>
      </c>
      <c r="H54" s="1037">
        <f t="shared" si="2"/>
        <v>0.57554722689473836</v>
      </c>
    </row>
    <row r="55" spans="2:24" x14ac:dyDescent="0.25">
      <c r="B55" s="269" t="s">
        <v>71</v>
      </c>
      <c r="C55" s="270">
        <f>+'Nomina 2019 PLANTA'!L54</f>
        <v>36665115</v>
      </c>
      <c r="D55" s="254"/>
      <c r="E55" s="270"/>
      <c r="F55" s="288">
        <f t="shared" si="8"/>
        <v>36665115</v>
      </c>
      <c r="G55" s="290">
        <v>79336671</v>
      </c>
      <c r="H55" s="1037">
        <f t="shared" si="2"/>
        <v>-0.53785412801099253</v>
      </c>
    </row>
    <row r="56" spans="2:24" x14ac:dyDescent="0.25">
      <c r="B56" s="269" t="s">
        <v>50</v>
      </c>
      <c r="C56" s="270">
        <f>+'RECAUDO '!E7+ITPA!E10+ITPA!E11+ITPA!E12+ITPA!E13+AGROEXPO!F6+PROTOTIPO!E8</f>
        <v>198810000</v>
      </c>
      <c r="D56" s="254"/>
      <c r="E56" s="270"/>
      <c r="F56" s="288">
        <f t="shared" si="8"/>
        <v>198810000</v>
      </c>
      <c r="G56" s="290">
        <v>89643100</v>
      </c>
      <c r="H56" s="1037">
        <f t="shared" si="2"/>
        <v>1.2177947884443978</v>
      </c>
    </row>
    <row r="57" spans="2:24" x14ac:dyDescent="0.25">
      <c r="B57" s="269" t="s">
        <v>72</v>
      </c>
      <c r="C57" s="270">
        <f>+'Nomina 2019 PLANTA'!U54</f>
        <v>2050697.25</v>
      </c>
      <c r="D57" s="270"/>
      <c r="E57" s="270"/>
      <c r="F57" s="288">
        <f t="shared" si="8"/>
        <v>2050697.25</v>
      </c>
      <c r="G57" s="290">
        <v>1310450</v>
      </c>
      <c r="H57" s="1037">
        <f t="shared" si="2"/>
        <v>0.56488019382654808</v>
      </c>
    </row>
    <row r="58" spans="2:24" x14ac:dyDescent="0.25">
      <c r="B58" s="269" t="s">
        <v>73</v>
      </c>
      <c r="C58" s="270">
        <f>+'Nomina 2019 PLANTA'!J54</f>
        <v>36665115</v>
      </c>
      <c r="D58" s="254"/>
      <c r="E58" s="270"/>
      <c r="F58" s="288">
        <f t="shared" si="8"/>
        <v>36665115</v>
      </c>
      <c r="G58" s="290">
        <v>79414484</v>
      </c>
      <c r="H58" s="1037">
        <f t="shared" si="2"/>
        <v>-0.53830695418231267</v>
      </c>
    </row>
    <row r="59" spans="2:24" x14ac:dyDescent="0.25">
      <c r="B59" s="269" t="s">
        <v>74</v>
      </c>
      <c r="C59" s="270">
        <f>+'Nomina 2019 PLANTA'!K54</f>
        <v>4402000</v>
      </c>
      <c r="D59" s="254"/>
      <c r="E59" s="270"/>
      <c r="F59" s="288">
        <f t="shared" si="8"/>
        <v>4402000</v>
      </c>
      <c r="G59" s="290">
        <v>9073801</v>
      </c>
      <c r="H59" s="1037">
        <f t="shared" si="2"/>
        <v>-0.51486703312096005</v>
      </c>
    </row>
    <row r="60" spans="2:24" ht="18" customHeight="1" x14ac:dyDescent="0.25">
      <c r="B60" s="269" t="s">
        <v>75</v>
      </c>
      <c r="C60" s="270">
        <f>+'Nomina 2019 PLANTA'!N54+'Nomina 2019 PLANTA'!O54+'Nomina 2019 PLANTA'!P54</f>
        <v>96240000</v>
      </c>
      <c r="D60" s="254"/>
      <c r="E60" s="270"/>
      <c r="F60" s="288">
        <f t="shared" si="8"/>
        <v>96240000</v>
      </c>
      <c r="G60" s="290">
        <v>201979337.89045796</v>
      </c>
      <c r="H60" s="1037">
        <f t="shared" si="2"/>
        <v>-0.52351561795793655</v>
      </c>
    </row>
    <row r="61" spans="2:24" x14ac:dyDescent="0.25">
      <c r="B61" s="269" t="s">
        <v>76</v>
      </c>
      <c r="C61" s="270">
        <f>+'Nomina 2019 PLANTA'!Q54</f>
        <v>18195000</v>
      </c>
      <c r="D61" s="254"/>
      <c r="E61" s="270"/>
      <c r="F61" s="288">
        <f t="shared" si="8"/>
        <v>18195000</v>
      </c>
      <c r="G61" s="290">
        <v>39638201.360979997</v>
      </c>
      <c r="H61" s="1037">
        <f t="shared" si="2"/>
        <v>-0.54097311746563681</v>
      </c>
    </row>
    <row r="62" spans="2:24" x14ac:dyDescent="0.25">
      <c r="B62" s="269" t="s">
        <v>77</v>
      </c>
      <c r="C62" s="270">
        <f>+'Nomina 2019 PLANTA'!R54+'Nomina 2019 PLANTA'!S54</f>
        <v>22738000</v>
      </c>
      <c r="D62" s="254"/>
      <c r="E62" s="270"/>
      <c r="F62" s="288">
        <f t="shared" si="8"/>
        <v>22738000</v>
      </c>
      <c r="G62" s="292">
        <v>49614102.776225001</v>
      </c>
      <c r="H62" s="1040">
        <f t="shared" si="2"/>
        <v>-0.54170288833891778</v>
      </c>
    </row>
    <row r="63" spans="2:24" x14ac:dyDescent="0.25">
      <c r="B63" s="266" t="s">
        <v>51</v>
      </c>
      <c r="C63" s="273" t="e">
        <f>SUM(C64:C79)</f>
        <v>#REF!</v>
      </c>
      <c r="D63" s="273">
        <f>SUM(D64:D79)</f>
        <v>0</v>
      </c>
      <c r="E63" s="273">
        <f>SUM(E64:E79)</f>
        <v>0</v>
      </c>
      <c r="F63" s="287" t="e">
        <f>SUM(F64:F79)</f>
        <v>#REF!</v>
      </c>
      <c r="G63" s="274">
        <f>SUM(G64:G79)</f>
        <v>721835293.03999996</v>
      </c>
      <c r="H63" s="1038" t="e">
        <f t="shared" si="2"/>
        <v>#REF!</v>
      </c>
      <c r="W63" s="271"/>
    </row>
    <row r="64" spans="2:24" x14ac:dyDescent="0.25">
      <c r="B64" s="293" t="s">
        <v>32</v>
      </c>
      <c r="C64" s="270">
        <f>+'RECAUDO '!E10+'SISTEMAS DE INF '!E9+ITPA!E28+'PROMOCION AL CONSUMO'!E9</f>
        <v>71846176</v>
      </c>
      <c r="D64" s="254"/>
      <c r="E64" s="270"/>
      <c r="F64" s="255">
        <f t="shared" si="8"/>
        <v>71846176</v>
      </c>
      <c r="G64" s="1421">
        <f>+'RECAUDO '!F10+'SISTEMAS DE INF '!F9+ITPA!F28+'PROMOCION AL CONSUMO'!F9</f>
        <v>9515795.0399999991</v>
      </c>
      <c r="H64" s="1039">
        <f t="shared" si="2"/>
        <v>6.5502021321383994</v>
      </c>
    </row>
    <row r="65" spans="2:21" x14ac:dyDescent="0.25">
      <c r="B65" s="293" t="s">
        <v>78</v>
      </c>
      <c r="C65" s="270">
        <v>0</v>
      </c>
      <c r="D65" s="254"/>
      <c r="E65" s="270"/>
      <c r="F65" s="255">
        <f t="shared" si="8"/>
        <v>0</v>
      </c>
      <c r="G65" s="408">
        <v>2177400</v>
      </c>
      <c r="H65" s="1037">
        <f t="shared" si="2"/>
        <v>-1</v>
      </c>
    </row>
    <row r="66" spans="2:21" x14ac:dyDescent="0.25">
      <c r="B66" s="293" t="s">
        <v>79</v>
      </c>
      <c r="C66" s="270">
        <f>+'RECAUDO '!E33</f>
        <v>14901600</v>
      </c>
      <c r="D66" s="254"/>
      <c r="E66" s="270"/>
      <c r="F66" s="255">
        <f t="shared" si="8"/>
        <v>14901600</v>
      </c>
      <c r="G66" s="408">
        <f>+'RECAUDO '!F33</f>
        <v>6974460</v>
      </c>
      <c r="H66" s="1037">
        <f t="shared" si="2"/>
        <v>1.1365955213736978</v>
      </c>
    </row>
    <row r="67" spans="2:21" x14ac:dyDescent="0.25">
      <c r="B67" s="293" t="s">
        <v>34</v>
      </c>
      <c r="C67" s="270">
        <f>+'RECAUDO '!E40+ITPA!E40</f>
        <v>8280000</v>
      </c>
      <c r="D67" s="254"/>
      <c r="E67" s="270"/>
      <c r="F67" s="255">
        <f t="shared" si="8"/>
        <v>8280000</v>
      </c>
      <c r="G67" s="408">
        <f>+'RECAUDO '!F40+ITPA!F40</f>
        <v>6757122</v>
      </c>
      <c r="H67" s="1037">
        <f t="shared" si="2"/>
        <v>0.22537376119596478</v>
      </c>
    </row>
    <row r="68" spans="2:21" x14ac:dyDescent="0.25">
      <c r="B68" s="293" t="s">
        <v>35</v>
      </c>
      <c r="C68" s="270" t="e">
        <f>+'RECAUDO '!E41+'SISTEMAS DE INF '!E21+ITPA!E34+'PROMOCION AL CONSUMO'!#REF!</f>
        <v>#REF!</v>
      </c>
      <c r="D68" s="254"/>
      <c r="E68" s="270"/>
      <c r="F68" s="255" t="e">
        <f t="shared" si="8"/>
        <v>#REF!</v>
      </c>
      <c r="G68" s="408">
        <v>303388233</v>
      </c>
      <c r="H68" s="1037" t="e">
        <f t="shared" si="2"/>
        <v>#REF!</v>
      </c>
    </row>
    <row r="69" spans="2:21" x14ac:dyDescent="0.25">
      <c r="B69" s="293" t="s">
        <v>36</v>
      </c>
      <c r="C69" s="270" t="e">
        <f>+'RECAUDO '!E45+'RECAUDO '!E52+'SISTEMAS DE INF '!E26+ITPA!E16+ITPA!E21+'PROMOCION AL CONSUMO'!#REF!+AGROEXPO!#REF!</f>
        <v>#REF!</v>
      </c>
      <c r="D69" s="254"/>
      <c r="E69" s="270"/>
      <c r="F69" s="255" t="e">
        <f t="shared" si="8"/>
        <v>#REF!</v>
      </c>
      <c r="G69" s="408">
        <v>262493367</v>
      </c>
      <c r="H69" s="1037" t="e">
        <f t="shared" si="2"/>
        <v>#REF!</v>
      </c>
      <c r="T69" s="294"/>
      <c r="U69" s="294"/>
    </row>
    <row r="70" spans="2:21" x14ac:dyDescent="0.25">
      <c r="B70" s="293" t="s">
        <v>80</v>
      </c>
      <c r="C70" s="270">
        <f>+'SISTEMAS DE INF '!E24</f>
        <v>4000000</v>
      </c>
      <c r="D70" s="254"/>
      <c r="E70" s="270"/>
      <c r="F70" s="255">
        <f t="shared" si="8"/>
        <v>4000000</v>
      </c>
      <c r="G70" s="408">
        <f>+'SISTEMAS DE INF '!F24+ITPA!F44</f>
        <v>30000000</v>
      </c>
      <c r="H70" s="1037">
        <f t="shared" si="2"/>
        <v>-0.8666666666666667</v>
      </c>
    </row>
    <row r="71" spans="2:21" x14ac:dyDescent="0.25">
      <c r="B71" s="293" t="s">
        <v>37</v>
      </c>
      <c r="C71" s="270" t="e">
        <f>+'RECAUDO '!E27+'SISTEMAS DE INF '!E17+ITPA!E41+'PROMOCION AL CONSUMO'!#REF!+AGROEXPO!F8</f>
        <v>#REF!</v>
      </c>
      <c r="D71" s="254"/>
      <c r="E71" s="270"/>
      <c r="F71" s="255" t="e">
        <f t="shared" si="8"/>
        <v>#REF!</v>
      </c>
      <c r="G71" s="408">
        <v>57498908</v>
      </c>
      <c r="H71" s="1037" t="e">
        <f t="shared" si="2"/>
        <v>#REF!</v>
      </c>
    </row>
    <row r="72" spans="2:21" x14ac:dyDescent="0.25">
      <c r="B72" s="293" t="s">
        <v>434</v>
      </c>
      <c r="C72" s="270" t="e">
        <f>+'RECAUDO '!E24+'SISTEMAS DE INF '!E19+ITPA!#REF!+'PROMOCION AL CONSUMO'!#REF!</f>
        <v>#REF!</v>
      </c>
      <c r="D72" s="254"/>
      <c r="E72" s="270"/>
      <c r="F72" s="255" t="e">
        <f t="shared" si="8"/>
        <v>#REF!</v>
      </c>
      <c r="G72" s="408">
        <v>0</v>
      </c>
      <c r="H72" s="1037">
        <v>1</v>
      </c>
    </row>
    <row r="73" spans="2:21" x14ac:dyDescent="0.25">
      <c r="B73" s="293" t="s">
        <v>81</v>
      </c>
      <c r="C73" s="270">
        <f>+'RECAUDO '!E59+'SISTEMAS DE INF '!E30+ITPA!E46+'PROMOCION AL CONSUMO'!E13+AGROEXPO!F18</f>
        <v>5668142</v>
      </c>
      <c r="D73" s="254"/>
      <c r="E73" s="270"/>
      <c r="F73" s="255">
        <f t="shared" si="8"/>
        <v>5668142</v>
      </c>
      <c r="G73" s="408">
        <v>2409710</v>
      </c>
      <c r="H73" s="1037">
        <f t="shared" si="2"/>
        <v>1.3522091869976056</v>
      </c>
    </row>
    <row r="74" spans="2:21" x14ac:dyDescent="0.25">
      <c r="B74" s="293" t="s">
        <v>82</v>
      </c>
      <c r="C74" s="270">
        <f>+'RECAUDO '!E58</f>
        <v>30000000</v>
      </c>
      <c r="D74" s="254"/>
      <c r="E74" s="270"/>
      <c r="F74" s="255">
        <f t="shared" si="8"/>
        <v>30000000</v>
      </c>
      <c r="G74" s="408">
        <v>26999958</v>
      </c>
      <c r="H74" s="1037">
        <f t="shared" si="2"/>
        <v>0.11111283950886146</v>
      </c>
    </row>
    <row r="75" spans="2:21" x14ac:dyDescent="0.25">
      <c r="B75" s="293" t="s">
        <v>83</v>
      </c>
      <c r="C75" s="270">
        <f>+'RECAUDO '!E39</f>
        <v>13680000</v>
      </c>
      <c r="D75" s="254"/>
      <c r="E75" s="270"/>
      <c r="F75" s="255">
        <f t="shared" si="8"/>
        <v>13680000</v>
      </c>
      <c r="G75" s="258">
        <f>+'RECAUDO '!F39</f>
        <v>13209600</v>
      </c>
      <c r="H75" s="1037">
        <f t="shared" si="2"/>
        <v>3.5610465116279071E-2</v>
      </c>
    </row>
    <row r="76" spans="2:21" x14ac:dyDescent="0.25">
      <c r="B76" s="293" t="s">
        <v>106</v>
      </c>
      <c r="C76" s="295">
        <v>0</v>
      </c>
      <c r="D76" s="254"/>
      <c r="E76" s="270"/>
      <c r="F76" s="255">
        <f t="shared" si="8"/>
        <v>0</v>
      </c>
      <c r="G76" s="258">
        <v>410740</v>
      </c>
      <c r="H76" s="1037">
        <f t="shared" ref="H76:H96" si="9">+(F76-G76)/G76</f>
        <v>-1</v>
      </c>
    </row>
    <row r="77" spans="2:21" x14ac:dyDescent="0.25">
      <c r="B77" s="293" t="s">
        <v>435</v>
      </c>
      <c r="C77" s="295">
        <f>+'RECAUDO '!E61</f>
        <v>410740</v>
      </c>
      <c r="D77" s="254"/>
      <c r="E77" s="270"/>
      <c r="F77" s="255">
        <f t="shared" si="8"/>
        <v>410740</v>
      </c>
      <c r="G77" s="258">
        <v>0</v>
      </c>
      <c r="H77" s="1037">
        <v>10</v>
      </c>
    </row>
    <row r="78" spans="2:21" x14ac:dyDescent="0.25">
      <c r="B78" s="293" t="s">
        <v>52</v>
      </c>
      <c r="C78" s="270">
        <v>0</v>
      </c>
      <c r="D78" s="270"/>
      <c r="E78" s="270"/>
      <c r="F78" s="255">
        <f t="shared" si="8"/>
        <v>0</v>
      </c>
      <c r="G78" s="258">
        <v>0</v>
      </c>
      <c r="H78" s="1037" t="e">
        <f t="shared" si="9"/>
        <v>#DIV/0!</v>
      </c>
    </row>
    <row r="79" spans="2:21" x14ac:dyDescent="0.25">
      <c r="B79" s="293" t="s">
        <v>84</v>
      </c>
      <c r="C79" s="270">
        <v>0</v>
      </c>
      <c r="D79" s="270"/>
      <c r="E79" s="270"/>
      <c r="F79" s="255">
        <f t="shared" si="8"/>
        <v>0</v>
      </c>
      <c r="G79" s="272">
        <v>0</v>
      </c>
      <c r="H79" s="1037" t="e">
        <f t="shared" si="9"/>
        <v>#DIV/0!</v>
      </c>
    </row>
    <row r="80" spans="2:21" x14ac:dyDescent="0.25">
      <c r="B80" s="266" t="s">
        <v>86</v>
      </c>
      <c r="C80" s="273" t="e">
        <f>+C81+C87+C91</f>
        <v>#REF!</v>
      </c>
      <c r="D80" s="273">
        <f>+D81+D87+D91</f>
        <v>0</v>
      </c>
      <c r="E80" s="273">
        <f>+E81+E87+E91</f>
        <v>0</v>
      </c>
      <c r="F80" s="287" t="e">
        <f>+F81+F87+F91</f>
        <v>#REF!</v>
      </c>
      <c r="G80" s="274">
        <f>+G81+G87+G91</f>
        <v>1847550044.9000001</v>
      </c>
      <c r="H80" s="1038" t="e">
        <f t="shared" si="9"/>
        <v>#REF!</v>
      </c>
    </row>
    <row r="81" spans="2:8" x14ac:dyDescent="0.25">
      <c r="B81" s="296" t="s">
        <v>107</v>
      </c>
      <c r="C81" s="273">
        <f>SUM(C82:C86)</f>
        <v>0</v>
      </c>
      <c r="D81" s="273">
        <f>SUM(D82:D86)</f>
        <v>0</v>
      </c>
      <c r="E81" s="273">
        <f>SUM(E82:E86)</f>
        <v>0</v>
      </c>
      <c r="F81" s="287">
        <f>SUM(F82:F86)</f>
        <v>0</v>
      </c>
      <c r="G81" s="274">
        <f>SUM(G82:G86)</f>
        <v>90149500</v>
      </c>
      <c r="H81" s="1038">
        <f t="shared" si="9"/>
        <v>-1</v>
      </c>
    </row>
    <row r="82" spans="2:8" x14ac:dyDescent="0.25">
      <c r="B82" s="267" t="s">
        <v>96</v>
      </c>
      <c r="C82" s="295">
        <f>+ITPA!E49</f>
        <v>0</v>
      </c>
      <c r="D82" s="295"/>
      <c r="E82" s="295"/>
      <c r="F82" s="255">
        <f t="shared" ref="F82:F90" si="10">SUM(C82:E82)</f>
        <v>0</v>
      </c>
      <c r="G82" s="268">
        <v>80344000</v>
      </c>
      <c r="H82" s="1039">
        <f t="shared" si="9"/>
        <v>-1</v>
      </c>
    </row>
    <row r="83" spans="2:8" x14ac:dyDescent="0.25">
      <c r="B83" s="267" t="s">
        <v>108</v>
      </c>
      <c r="C83" s="270">
        <f>+ITPA!E50</f>
        <v>0</v>
      </c>
      <c r="D83" s="270"/>
      <c r="E83" s="270"/>
      <c r="F83" s="255">
        <f t="shared" si="10"/>
        <v>0</v>
      </c>
      <c r="G83" s="258">
        <v>6205500</v>
      </c>
      <c r="H83" s="1039">
        <f t="shared" si="9"/>
        <v>-1</v>
      </c>
    </row>
    <row r="84" spans="2:8" x14ac:dyDescent="0.25">
      <c r="B84" s="267" t="s">
        <v>567</v>
      </c>
      <c r="C84" s="270">
        <f>+ITPA!E51</f>
        <v>0</v>
      </c>
      <c r="D84" s="270"/>
      <c r="E84" s="270"/>
      <c r="F84" s="255">
        <f t="shared" si="10"/>
        <v>0</v>
      </c>
      <c r="G84" s="258">
        <v>3600000</v>
      </c>
      <c r="H84" s="1039">
        <f t="shared" si="9"/>
        <v>-1</v>
      </c>
    </row>
    <row r="85" spans="2:8" x14ac:dyDescent="0.25">
      <c r="B85" s="267" t="s">
        <v>87</v>
      </c>
      <c r="C85" s="270">
        <v>0</v>
      </c>
      <c r="D85" s="270"/>
      <c r="E85" s="270"/>
      <c r="F85" s="255">
        <f t="shared" si="10"/>
        <v>0</v>
      </c>
      <c r="G85" s="258">
        <v>0</v>
      </c>
      <c r="H85" s="1039" t="e">
        <f t="shared" si="9"/>
        <v>#DIV/0!</v>
      </c>
    </row>
    <row r="86" spans="2:8" x14ac:dyDescent="0.25">
      <c r="B86" s="267" t="s">
        <v>87</v>
      </c>
      <c r="C86" s="270">
        <v>0</v>
      </c>
      <c r="D86" s="270"/>
      <c r="E86" s="270"/>
      <c r="F86" s="255">
        <f t="shared" si="10"/>
        <v>0</v>
      </c>
      <c r="G86" s="258">
        <v>0</v>
      </c>
      <c r="H86" s="1039" t="e">
        <f t="shared" si="9"/>
        <v>#DIV/0!</v>
      </c>
    </row>
    <row r="87" spans="2:8" x14ac:dyDescent="0.25">
      <c r="B87" s="296" t="s">
        <v>568</v>
      </c>
      <c r="C87" s="273" t="e">
        <f>SUM(C88:C90)</f>
        <v>#REF!</v>
      </c>
      <c r="D87" s="273">
        <f>SUM(D88:D90)</f>
        <v>0</v>
      </c>
      <c r="E87" s="273">
        <f>SUM(E88:E90)</f>
        <v>0</v>
      </c>
      <c r="F87" s="287" t="e">
        <f>SUM(F88:F90)</f>
        <v>#REF!</v>
      </c>
      <c r="G87" s="274">
        <f>+SUM(G88:G91)</f>
        <v>1757400544.9000001</v>
      </c>
      <c r="H87" s="1038" t="e">
        <f t="shared" si="9"/>
        <v>#REF!</v>
      </c>
    </row>
    <row r="88" spans="2:8" x14ac:dyDescent="0.25">
      <c r="B88" s="267" t="s">
        <v>229</v>
      </c>
      <c r="C88" s="270" t="e">
        <f>+'PROMOCION AL CONSUMO'!E16</f>
        <v>#REF!</v>
      </c>
      <c r="D88" s="270"/>
      <c r="E88" s="270"/>
      <c r="F88" s="255" t="e">
        <f t="shared" si="10"/>
        <v>#REF!</v>
      </c>
      <c r="G88" s="268">
        <v>1285764000</v>
      </c>
      <c r="H88" s="1039" t="e">
        <f t="shared" si="9"/>
        <v>#REF!</v>
      </c>
    </row>
    <row r="89" spans="2:8" x14ac:dyDescent="0.25">
      <c r="B89" s="267" t="s">
        <v>230</v>
      </c>
      <c r="C89" s="270" t="e">
        <f>+'PROMOCION AL CONSUMO'!E19</f>
        <v>#REF!</v>
      </c>
      <c r="D89" s="270"/>
      <c r="E89" s="270"/>
      <c r="F89" s="255" t="e">
        <f t="shared" si="10"/>
        <v>#REF!</v>
      </c>
      <c r="G89" s="268">
        <v>245485151.90000001</v>
      </c>
      <c r="H89" s="1039" t="e">
        <f t="shared" si="9"/>
        <v>#REF!</v>
      </c>
    </row>
    <row r="90" spans="2:8" x14ac:dyDescent="0.25">
      <c r="B90" s="267" t="s">
        <v>232</v>
      </c>
      <c r="C90" s="270" t="e">
        <f>+'PROMOCION AL CONSUMO'!E21</f>
        <v>#REF!</v>
      </c>
      <c r="D90" s="270"/>
      <c r="E90" s="270"/>
      <c r="F90" s="255" t="e">
        <f t="shared" si="10"/>
        <v>#REF!</v>
      </c>
      <c r="G90" s="258">
        <v>226151393</v>
      </c>
      <c r="H90" s="1037" t="e">
        <f t="shared" si="9"/>
        <v>#REF!</v>
      </c>
    </row>
    <row r="91" spans="2:8" x14ac:dyDescent="0.25">
      <c r="B91" s="296" t="s">
        <v>88</v>
      </c>
      <c r="C91" s="273">
        <f>+C92</f>
        <v>0</v>
      </c>
      <c r="D91" s="273"/>
      <c r="E91" s="273">
        <f>+E92</f>
        <v>0</v>
      </c>
      <c r="F91" s="287">
        <f>+F92</f>
        <v>0</v>
      </c>
      <c r="G91" s="274">
        <v>0</v>
      </c>
      <c r="H91" s="1038" t="e">
        <f t="shared" si="9"/>
        <v>#DIV/0!</v>
      </c>
    </row>
    <row r="92" spans="2:8" x14ac:dyDescent="0.25">
      <c r="B92" s="267" t="s">
        <v>87</v>
      </c>
      <c r="C92" s="295"/>
      <c r="D92" s="295"/>
      <c r="E92" s="295"/>
      <c r="F92" s="255">
        <f t="shared" ref="F92:F93" si="11">SUM(C92:E92)</f>
        <v>0</v>
      </c>
      <c r="G92" s="258">
        <v>0</v>
      </c>
      <c r="H92" s="1037" t="e">
        <f t="shared" si="9"/>
        <v>#DIV/0!</v>
      </c>
    </row>
    <row r="93" spans="2:8" ht="16.5" thickBot="1" x14ac:dyDescent="0.3">
      <c r="B93" s="275" t="s">
        <v>87</v>
      </c>
      <c r="C93" s="297">
        <v>0</v>
      </c>
      <c r="D93" s="297"/>
      <c r="E93" s="297"/>
      <c r="F93" s="298">
        <f t="shared" si="11"/>
        <v>0</v>
      </c>
      <c r="G93" s="272"/>
      <c r="H93" s="1040" t="e">
        <f t="shared" si="9"/>
        <v>#DIV/0!</v>
      </c>
    </row>
    <row r="94" spans="2:8" x14ac:dyDescent="0.25">
      <c r="B94" s="299" t="s">
        <v>569</v>
      </c>
      <c r="C94" s="300" t="e">
        <f>+C50+C20+C48</f>
        <v>#REF!</v>
      </c>
      <c r="D94" s="300">
        <f>+D50+D20+D48</f>
        <v>0</v>
      </c>
      <c r="E94" s="300">
        <f>+E50+E20+E48</f>
        <v>0</v>
      </c>
      <c r="F94" s="301" t="e">
        <f>+F50+F20+F48</f>
        <v>#REF!</v>
      </c>
      <c r="G94" s="302">
        <f>+G50+G20+G48</f>
        <v>4728111548.9676628</v>
      </c>
      <c r="H94" s="1043" t="e">
        <f t="shared" si="9"/>
        <v>#REF!</v>
      </c>
    </row>
    <row r="95" spans="2:8" x14ac:dyDescent="0.25">
      <c r="B95" s="303" t="s">
        <v>89</v>
      </c>
      <c r="C95" s="273" t="e">
        <f>+C18-C94</f>
        <v>#REF!</v>
      </c>
      <c r="D95" s="273">
        <f>+D18-D94</f>
        <v>0</v>
      </c>
      <c r="E95" s="273"/>
      <c r="F95" s="287" t="e">
        <f>+F18-F94</f>
        <v>#REF!</v>
      </c>
      <c r="G95" s="287">
        <f>+G18-G94</f>
        <v>1477134982.0323372</v>
      </c>
      <c r="H95" s="1038" t="e">
        <f t="shared" si="9"/>
        <v>#REF!</v>
      </c>
    </row>
    <row r="96" spans="2:8" ht="16.5" thickBot="1" x14ac:dyDescent="0.3">
      <c r="B96" s="304" t="s">
        <v>90</v>
      </c>
      <c r="C96" s="305" t="e">
        <f>SUM(C94:C95)</f>
        <v>#REF!</v>
      </c>
      <c r="D96" s="305">
        <f>SUM(D94:D95)</f>
        <v>0</v>
      </c>
      <c r="E96" s="305">
        <f>SUM(E94:E95)</f>
        <v>0</v>
      </c>
      <c r="F96" s="306" t="e">
        <f>SUM(C96:E96)</f>
        <v>#REF!</v>
      </c>
      <c r="G96" s="307">
        <f>SUM(G94:G95)</f>
        <v>6205246531</v>
      </c>
      <c r="H96" s="1044" t="e">
        <f t="shared" si="9"/>
        <v>#REF!</v>
      </c>
    </row>
    <row r="97" spans="2:19" x14ac:dyDescent="0.25">
      <c r="B97" s="238" t="s">
        <v>91</v>
      </c>
      <c r="C97" s="237" t="e">
        <f>+C18-C96</f>
        <v>#REF!</v>
      </c>
      <c r="D97" s="237">
        <f>+D18-D96</f>
        <v>0</v>
      </c>
      <c r="E97" s="237">
        <f>+E18-E96</f>
        <v>0</v>
      </c>
      <c r="F97" s="237" t="e">
        <f>+F18-F96</f>
        <v>#REF!</v>
      </c>
    </row>
    <row r="98" spans="2:19" x14ac:dyDescent="0.25">
      <c r="B98" s="308"/>
    </row>
    <row r="99" spans="2:19" x14ac:dyDescent="0.25">
      <c r="B99" s="308"/>
    </row>
    <row r="101" spans="2:19" s="309" customFormat="1" x14ac:dyDescent="0.25">
      <c r="C101" s="291"/>
      <c r="D101" s="291"/>
      <c r="E101" s="291"/>
      <c r="F101" s="474"/>
      <c r="G101" s="291"/>
      <c r="H101" s="1046"/>
      <c r="I101" s="406"/>
      <c r="J101" s="406"/>
      <c r="K101" s="291"/>
      <c r="L101" s="291"/>
      <c r="M101" s="291"/>
      <c r="N101" s="291"/>
      <c r="O101" s="291"/>
      <c r="P101" s="291"/>
      <c r="Q101" s="291"/>
      <c r="R101" s="291"/>
      <c r="S101" s="291"/>
    </row>
    <row r="102" spans="2:19" s="309" customFormat="1" x14ac:dyDescent="0.25">
      <c r="C102" s="291"/>
      <c r="D102" s="291"/>
      <c r="E102" s="291"/>
      <c r="F102" s="237"/>
      <c r="G102" s="291"/>
      <c r="H102" s="1047"/>
      <c r="I102" s="406"/>
      <c r="J102" s="406"/>
      <c r="K102" s="291"/>
      <c r="L102" s="291"/>
      <c r="M102" s="291"/>
      <c r="N102" s="291"/>
      <c r="O102" s="291"/>
      <c r="P102" s="291"/>
      <c r="Q102" s="291"/>
      <c r="R102" s="291"/>
      <c r="S102" s="291"/>
    </row>
    <row r="103" spans="2:19" s="309" customFormat="1" x14ac:dyDescent="0.25">
      <c r="C103" s="291"/>
      <c r="D103" s="291"/>
      <c r="E103" s="291"/>
      <c r="F103" s="237"/>
      <c r="G103" s="291"/>
      <c r="H103" s="1048"/>
      <c r="I103" s="406"/>
      <c r="J103" s="406"/>
      <c r="K103" s="291"/>
      <c r="L103" s="291"/>
      <c r="M103" s="291"/>
      <c r="N103" s="291"/>
      <c r="O103" s="291"/>
      <c r="P103" s="291"/>
      <c r="Q103" s="291"/>
      <c r="R103" s="291"/>
      <c r="S103" s="291"/>
    </row>
    <row r="104" spans="2:19" s="309" customFormat="1" x14ac:dyDescent="0.25">
      <c r="C104" s="291"/>
      <c r="D104" s="291"/>
      <c r="E104" s="291"/>
      <c r="F104" s="237"/>
      <c r="G104" s="291"/>
      <c r="H104" s="1048"/>
      <c r="I104" s="406"/>
      <c r="J104" s="406"/>
      <c r="K104" s="291"/>
      <c r="L104" s="291"/>
      <c r="M104" s="291"/>
      <c r="N104" s="291"/>
      <c r="O104" s="291"/>
      <c r="P104" s="291"/>
      <c r="Q104" s="291"/>
      <c r="R104" s="291"/>
      <c r="S104" s="291"/>
    </row>
    <row r="105" spans="2:19" s="309" customFormat="1" x14ac:dyDescent="0.25">
      <c r="C105" s="291"/>
      <c r="D105" s="291"/>
      <c r="E105" s="291"/>
      <c r="F105" s="291"/>
      <c r="G105" s="291"/>
      <c r="H105" s="1048"/>
      <c r="I105" s="406"/>
      <c r="J105" s="406"/>
      <c r="K105" s="291"/>
      <c r="L105" s="291"/>
      <c r="M105" s="291"/>
      <c r="N105" s="291"/>
      <c r="O105" s="291"/>
      <c r="P105" s="291"/>
      <c r="Q105" s="291"/>
      <c r="R105" s="291"/>
      <c r="S105" s="291"/>
    </row>
    <row r="106" spans="2:19" s="309" customFormat="1" x14ac:dyDescent="0.25">
      <c r="C106" s="291"/>
      <c r="D106" s="291"/>
      <c r="E106" s="291"/>
      <c r="F106" s="291"/>
      <c r="G106" s="291"/>
      <c r="H106" s="1049"/>
      <c r="I106" s="406"/>
      <c r="J106" s="406"/>
      <c r="K106" s="291"/>
      <c r="L106" s="291"/>
      <c r="M106" s="291"/>
      <c r="N106" s="291"/>
      <c r="O106" s="291"/>
      <c r="P106" s="291"/>
      <c r="Q106" s="291"/>
      <c r="R106" s="291"/>
      <c r="S106" s="291"/>
    </row>
    <row r="107" spans="2:19" s="309" customFormat="1" x14ac:dyDescent="0.25">
      <c r="C107" s="291"/>
      <c r="D107" s="291"/>
      <c r="E107" s="291"/>
      <c r="F107" s="291"/>
      <c r="G107" s="291"/>
      <c r="H107" s="1050"/>
      <c r="I107" s="406"/>
      <c r="J107" s="406"/>
      <c r="K107" s="291"/>
      <c r="L107" s="291"/>
      <c r="M107" s="291"/>
      <c r="N107" s="291"/>
      <c r="O107" s="291"/>
      <c r="P107" s="291"/>
      <c r="Q107" s="291"/>
      <c r="R107" s="291"/>
      <c r="S107" s="291"/>
    </row>
    <row r="108" spans="2:19" x14ac:dyDescent="0.25">
      <c r="H108" s="1049"/>
    </row>
    <row r="109" spans="2:19" x14ac:dyDescent="0.25">
      <c r="H109" s="1049"/>
    </row>
  </sheetData>
  <autoFilter ref="B7:H97" xr:uid="{00000000-0009-0000-0000-000000000000}"/>
  <mergeCells count="6">
    <mergeCell ref="B8:B9"/>
    <mergeCell ref="B2:H2"/>
    <mergeCell ref="B3:H3"/>
    <mergeCell ref="B4:H4"/>
    <mergeCell ref="B5:H5"/>
    <mergeCell ref="B6:H6"/>
  </mergeCells>
  <printOptions horizontalCentered="1" gridLines="1"/>
  <pageMargins left="0.39370078740157483" right="0.39370078740157483" top="0.39370078740157483" bottom="0.39370078740157483" header="0.51181102362204722" footer="0.51181102362204722"/>
  <pageSetup scale="80" fitToHeight="2"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tabColor rgb="FFFF0000"/>
    <pageSetUpPr fitToPage="1"/>
  </sheetPr>
  <dimension ref="A1:AC61"/>
  <sheetViews>
    <sheetView topLeftCell="A28" zoomScale="70" zoomScaleNormal="70" workbookViewId="0">
      <pane xSplit="1" topLeftCell="R1" activePane="topRight" state="frozen"/>
      <selection activeCell="F13" sqref="F13:H15"/>
      <selection pane="topRight" activeCell="F13" sqref="F13:H15"/>
    </sheetView>
  </sheetViews>
  <sheetFormatPr baseColWidth="10" defaultRowHeight="15" x14ac:dyDescent="0.25"/>
  <cols>
    <col min="1" max="1" width="40.7109375" style="341" bestFit="1" customWidth="1"/>
    <col min="2" max="2" width="11.140625" style="112" customWidth="1"/>
    <col min="3" max="3" width="12" style="112" customWidth="1"/>
    <col min="4" max="4" width="11.7109375" style="159" customWidth="1"/>
    <col min="5" max="5" width="15.7109375" style="112" customWidth="1"/>
    <col min="6" max="6" width="15" style="112" customWidth="1"/>
    <col min="7" max="7" width="15.28515625" style="347" bestFit="1" customWidth="1"/>
    <col min="8" max="8" width="15.7109375" style="347" customWidth="1"/>
    <col min="9" max="9" width="18.140625" style="347" customWidth="1"/>
    <col min="10" max="10" width="17.85546875" style="347" customWidth="1"/>
    <col min="11" max="11" width="15" style="347" customWidth="1"/>
    <col min="12" max="12" width="16" style="347" customWidth="1"/>
    <col min="13" max="13" width="15.28515625" style="347" customWidth="1"/>
    <col min="14" max="14" width="15.7109375" style="350" customWidth="1"/>
    <col min="15" max="15" width="15" style="350" customWidth="1"/>
    <col min="16" max="19" width="13.7109375" style="350" customWidth="1"/>
    <col min="20" max="20" width="18.28515625" style="350" customWidth="1"/>
    <col min="21" max="21" width="15.28515625" style="350" customWidth="1"/>
    <col min="22" max="22" width="20.28515625" style="350" customWidth="1"/>
    <col min="23" max="23" width="15.42578125" style="149" hidden="1" customWidth="1"/>
    <col min="24" max="25" width="18.140625" style="150" hidden="1" customWidth="1"/>
    <col min="26" max="26" width="11" hidden="1" customWidth="1"/>
    <col min="27" max="27" width="12.7109375" hidden="1" customWidth="1"/>
    <col min="28" max="28" width="14.85546875" bestFit="1" customWidth="1"/>
    <col min="29" max="29" width="12" bestFit="1" customWidth="1"/>
    <col min="242" max="242" width="69" bestFit="1" customWidth="1"/>
    <col min="243" max="243" width="26.140625" bestFit="1" customWidth="1"/>
    <col min="244" max="244" width="15.85546875" bestFit="1" customWidth="1"/>
    <col min="498" max="498" width="69" bestFit="1" customWidth="1"/>
    <col min="499" max="499" width="26.140625" bestFit="1" customWidth="1"/>
    <col min="500" max="500" width="15.85546875" bestFit="1" customWidth="1"/>
    <col min="754" max="754" width="69" bestFit="1" customWidth="1"/>
    <col min="755" max="755" width="26.140625" bestFit="1" customWidth="1"/>
    <col min="756" max="756" width="15.85546875" bestFit="1" customWidth="1"/>
    <col min="1010" max="1010" width="69" bestFit="1" customWidth="1"/>
    <col min="1011" max="1011" width="26.140625" bestFit="1" customWidth="1"/>
    <col min="1012" max="1012" width="15.85546875" bestFit="1" customWidth="1"/>
    <col min="1266" max="1266" width="69" bestFit="1" customWidth="1"/>
    <col min="1267" max="1267" width="26.140625" bestFit="1" customWidth="1"/>
    <col min="1268" max="1268" width="15.85546875" bestFit="1" customWidth="1"/>
    <col min="1522" max="1522" width="69" bestFit="1" customWidth="1"/>
    <col min="1523" max="1523" width="26.140625" bestFit="1" customWidth="1"/>
    <col min="1524" max="1524" width="15.85546875" bestFit="1" customWidth="1"/>
    <col min="1778" max="1778" width="69" bestFit="1" customWidth="1"/>
    <col min="1779" max="1779" width="26.140625" bestFit="1" customWidth="1"/>
    <col min="1780" max="1780" width="15.85546875" bestFit="1" customWidth="1"/>
    <col min="2034" max="2034" width="69" bestFit="1" customWidth="1"/>
    <col min="2035" max="2035" width="26.140625" bestFit="1" customWidth="1"/>
    <col min="2036" max="2036" width="15.85546875" bestFit="1" customWidth="1"/>
    <col min="2290" max="2290" width="69" bestFit="1" customWidth="1"/>
    <col min="2291" max="2291" width="26.140625" bestFit="1" customWidth="1"/>
    <col min="2292" max="2292" width="15.85546875" bestFit="1" customWidth="1"/>
    <col min="2546" max="2546" width="69" bestFit="1" customWidth="1"/>
    <col min="2547" max="2547" width="26.140625" bestFit="1" customWidth="1"/>
    <col min="2548" max="2548" width="15.85546875" bestFit="1" customWidth="1"/>
    <col min="2802" max="2802" width="69" bestFit="1" customWidth="1"/>
    <col min="2803" max="2803" width="26.140625" bestFit="1" customWidth="1"/>
    <col min="2804" max="2804" width="15.85546875" bestFit="1" customWidth="1"/>
    <col min="3058" max="3058" width="69" bestFit="1" customWidth="1"/>
    <col min="3059" max="3059" width="26.140625" bestFit="1" customWidth="1"/>
    <col min="3060" max="3060" width="15.85546875" bestFit="1" customWidth="1"/>
    <col min="3314" max="3314" width="69" bestFit="1" customWidth="1"/>
    <col min="3315" max="3315" width="26.140625" bestFit="1" customWidth="1"/>
    <col min="3316" max="3316" width="15.85546875" bestFit="1" customWidth="1"/>
    <col min="3570" max="3570" width="69" bestFit="1" customWidth="1"/>
    <col min="3571" max="3571" width="26.140625" bestFit="1" customWidth="1"/>
    <col min="3572" max="3572" width="15.85546875" bestFit="1" customWidth="1"/>
    <col min="3826" max="3826" width="69" bestFit="1" customWidth="1"/>
    <col min="3827" max="3827" width="26.140625" bestFit="1" customWidth="1"/>
    <col min="3828" max="3828" width="15.85546875" bestFit="1" customWidth="1"/>
    <col min="4082" max="4082" width="69" bestFit="1" customWidth="1"/>
    <col min="4083" max="4083" width="26.140625" bestFit="1" customWidth="1"/>
    <col min="4084" max="4084" width="15.85546875" bestFit="1" customWidth="1"/>
    <col min="4338" max="4338" width="69" bestFit="1" customWidth="1"/>
    <col min="4339" max="4339" width="26.140625" bestFit="1" customWidth="1"/>
    <col min="4340" max="4340" width="15.85546875" bestFit="1" customWidth="1"/>
    <col min="4594" max="4594" width="69" bestFit="1" customWidth="1"/>
    <col min="4595" max="4595" width="26.140625" bestFit="1" customWidth="1"/>
    <col min="4596" max="4596" width="15.85546875" bestFit="1" customWidth="1"/>
    <col min="4850" max="4850" width="69" bestFit="1" customWidth="1"/>
    <col min="4851" max="4851" width="26.140625" bestFit="1" customWidth="1"/>
    <col min="4852" max="4852" width="15.85546875" bestFit="1" customWidth="1"/>
    <col min="5106" max="5106" width="69" bestFit="1" customWidth="1"/>
    <col min="5107" max="5107" width="26.140625" bestFit="1" customWidth="1"/>
    <col min="5108" max="5108" width="15.85546875" bestFit="1" customWidth="1"/>
    <col min="5362" max="5362" width="69" bestFit="1" customWidth="1"/>
    <col min="5363" max="5363" width="26.140625" bestFit="1" customWidth="1"/>
    <col min="5364" max="5364" width="15.85546875" bestFit="1" customWidth="1"/>
    <col min="5618" max="5618" width="69" bestFit="1" customWidth="1"/>
    <col min="5619" max="5619" width="26.140625" bestFit="1" customWidth="1"/>
    <col min="5620" max="5620" width="15.85546875" bestFit="1" customWidth="1"/>
    <col min="5874" max="5874" width="69" bestFit="1" customWidth="1"/>
    <col min="5875" max="5875" width="26.140625" bestFit="1" customWidth="1"/>
    <col min="5876" max="5876" width="15.85546875" bestFit="1" customWidth="1"/>
    <col min="6130" max="6130" width="69" bestFit="1" customWidth="1"/>
    <col min="6131" max="6131" width="26.140625" bestFit="1" customWidth="1"/>
    <col min="6132" max="6132" width="15.85546875" bestFit="1" customWidth="1"/>
    <col min="6386" max="6386" width="69" bestFit="1" customWidth="1"/>
    <col min="6387" max="6387" width="26.140625" bestFit="1" customWidth="1"/>
    <col min="6388" max="6388" width="15.85546875" bestFit="1" customWidth="1"/>
    <col min="6642" max="6642" width="69" bestFit="1" customWidth="1"/>
    <col min="6643" max="6643" width="26.140625" bestFit="1" customWidth="1"/>
    <col min="6644" max="6644" width="15.85546875" bestFit="1" customWidth="1"/>
    <col min="6898" max="6898" width="69" bestFit="1" customWidth="1"/>
    <col min="6899" max="6899" width="26.140625" bestFit="1" customWidth="1"/>
    <col min="6900" max="6900" width="15.85546875" bestFit="1" customWidth="1"/>
    <col min="7154" max="7154" width="69" bestFit="1" customWidth="1"/>
    <col min="7155" max="7155" width="26.140625" bestFit="1" customWidth="1"/>
    <col min="7156" max="7156" width="15.85546875" bestFit="1" customWidth="1"/>
    <col min="7410" max="7410" width="69" bestFit="1" customWidth="1"/>
    <col min="7411" max="7411" width="26.140625" bestFit="1" customWidth="1"/>
    <col min="7412" max="7412" width="15.85546875" bestFit="1" customWidth="1"/>
    <col min="7666" max="7666" width="69" bestFit="1" customWidth="1"/>
    <col min="7667" max="7667" width="26.140625" bestFit="1" customWidth="1"/>
    <col min="7668" max="7668" width="15.85546875" bestFit="1" customWidth="1"/>
    <col min="7922" max="7922" width="69" bestFit="1" customWidth="1"/>
    <col min="7923" max="7923" width="26.140625" bestFit="1" customWidth="1"/>
    <col min="7924" max="7924" width="15.85546875" bestFit="1" customWidth="1"/>
    <col min="8178" max="8178" width="69" bestFit="1" customWidth="1"/>
    <col min="8179" max="8179" width="26.140625" bestFit="1" customWidth="1"/>
    <col min="8180" max="8180" width="15.85546875" bestFit="1" customWidth="1"/>
    <col min="8434" max="8434" width="69" bestFit="1" customWidth="1"/>
    <col min="8435" max="8435" width="26.140625" bestFit="1" customWidth="1"/>
    <col min="8436" max="8436" width="15.85546875" bestFit="1" customWidth="1"/>
    <col min="8690" max="8690" width="69" bestFit="1" customWidth="1"/>
    <col min="8691" max="8691" width="26.140625" bestFit="1" customWidth="1"/>
    <col min="8692" max="8692" width="15.85546875" bestFit="1" customWidth="1"/>
    <col min="8946" max="8946" width="69" bestFit="1" customWidth="1"/>
    <col min="8947" max="8947" width="26.140625" bestFit="1" customWidth="1"/>
    <col min="8948" max="8948" width="15.85546875" bestFit="1" customWidth="1"/>
    <col min="9202" max="9202" width="69" bestFit="1" customWidth="1"/>
    <col min="9203" max="9203" width="26.140625" bestFit="1" customWidth="1"/>
    <col min="9204" max="9204" width="15.85546875" bestFit="1" customWidth="1"/>
    <col min="9458" max="9458" width="69" bestFit="1" customWidth="1"/>
    <col min="9459" max="9459" width="26.140625" bestFit="1" customWidth="1"/>
    <col min="9460" max="9460" width="15.85546875" bestFit="1" customWidth="1"/>
    <col min="9714" max="9714" width="69" bestFit="1" customWidth="1"/>
    <col min="9715" max="9715" width="26.140625" bestFit="1" customWidth="1"/>
    <col min="9716" max="9716" width="15.85546875" bestFit="1" customWidth="1"/>
    <col min="9970" max="9970" width="69" bestFit="1" customWidth="1"/>
    <col min="9971" max="9971" width="26.140625" bestFit="1" customWidth="1"/>
    <col min="9972" max="9972" width="15.85546875" bestFit="1" customWidth="1"/>
    <col min="10226" max="10226" width="69" bestFit="1" customWidth="1"/>
    <col min="10227" max="10227" width="26.140625" bestFit="1" customWidth="1"/>
    <col min="10228" max="10228" width="15.85546875" bestFit="1" customWidth="1"/>
    <col min="10482" max="10482" width="69" bestFit="1" customWidth="1"/>
    <col min="10483" max="10483" width="26.140625" bestFit="1" customWidth="1"/>
    <col min="10484" max="10484" width="15.85546875" bestFit="1" customWidth="1"/>
    <col min="10738" max="10738" width="69" bestFit="1" customWidth="1"/>
    <col min="10739" max="10739" width="26.140625" bestFit="1" customWidth="1"/>
    <col min="10740" max="10740" width="15.85546875" bestFit="1" customWidth="1"/>
    <col min="10994" max="10994" width="69" bestFit="1" customWidth="1"/>
    <col min="10995" max="10995" width="26.140625" bestFit="1" customWidth="1"/>
    <col min="10996" max="10996" width="15.85546875" bestFit="1" customWidth="1"/>
    <col min="11250" max="11250" width="69" bestFit="1" customWidth="1"/>
    <col min="11251" max="11251" width="26.140625" bestFit="1" customWidth="1"/>
    <col min="11252" max="11252" width="15.85546875" bestFit="1" customWidth="1"/>
    <col min="11506" max="11506" width="69" bestFit="1" customWidth="1"/>
    <col min="11507" max="11507" width="26.140625" bestFit="1" customWidth="1"/>
    <col min="11508" max="11508" width="15.85546875" bestFit="1" customWidth="1"/>
    <col min="11762" max="11762" width="69" bestFit="1" customWidth="1"/>
    <col min="11763" max="11763" width="26.140625" bestFit="1" customWidth="1"/>
    <col min="11764" max="11764" width="15.85546875" bestFit="1" customWidth="1"/>
    <col min="12018" max="12018" width="69" bestFit="1" customWidth="1"/>
    <col min="12019" max="12019" width="26.140625" bestFit="1" customWidth="1"/>
    <col min="12020" max="12020" width="15.85546875" bestFit="1" customWidth="1"/>
    <col min="12274" max="12274" width="69" bestFit="1" customWidth="1"/>
    <col min="12275" max="12275" width="26.140625" bestFit="1" customWidth="1"/>
    <col min="12276" max="12276" width="15.85546875" bestFit="1" customWidth="1"/>
    <col min="12530" max="12530" width="69" bestFit="1" customWidth="1"/>
    <col min="12531" max="12531" width="26.140625" bestFit="1" customWidth="1"/>
    <col min="12532" max="12532" width="15.85546875" bestFit="1" customWidth="1"/>
    <col min="12786" max="12786" width="69" bestFit="1" customWidth="1"/>
    <col min="12787" max="12787" width="26.140625" bestFit="1" customWidth="1"/>
    <col min="12788" max="12788" width="15.85546875" bestFit="1" customWidth="1"/>
    <col min="13042" max="13042" width="69" bestFit="1" customWidth="1"/>
    <col min="13043" max="13043" width="26.140625" bestFit="1" customWidth="1"/>
    <col min="13044" max="13044" width="15.85546875" bestFit="1" customWidth="1"/>
    <col min="13298" max="13298" width="69" bestFit="1" customWidth="1"/>
    <col min="13299" max="13299" width="26.140625" bestFit="1" customWidth="1"/>
    <col min="13300" max="13300" width="15.85546875" bestFit="1" customWidth="1"/>
    <col min="13554" max="13554" width="69" bestFit="1" customWidth="1"/>
    <col min="13555" max="13555" width="26.140625" bestFit="1" customWidth="1"/>
    <col min="13556" max="13556" width="15.85546875" bestFit="1" customWidth="1"/>
    <col min="13810" max="13810" width="69" bestFit="1" customWidth="1"/>
    <col min="13811" max="13811" width="26.140625" bestFit="1" customWidth="1"/>
    <col min="13812" max="13812" width="15.85546875" bestFit="1" customWidth="1"/>
    <col min="14066" max="14066" width="69" bestFit="1" customWidth="1"/>
    <col min="14067" max="14067" width="26.140625" bestFit="1" customWidth="1"/>
    <col min="14068" max="14068" width="15.85546875" bestFit="1" customWidth="1"/>
    <col min="14322" max="14322" width="69" bestFit="1" customWidth="1"/>
    <col min="14323" max="14323" width="26.140625" bestFit="1" customWidth="1"/>
    <col min="14324" max="14324" width="15.85546875" bestFit="1" customWidth="1"/>
    <col min="14578" max="14578" width="69" bestFit="1" customWidth="1"/>
    <col min="14579" max="14579" width="26.140625" bestFit="1" customWidth="1"/>
    <col min="14580" max="14580" width="15.85546875" bestFit="1" customWidth="1"/>
    <col min="14834" max="14834" width="69" bestFit="1" customWidth="1"/>
    <col min="14835" max="14835" width="26.140625" bestFit="1" customWidth="1"/>
    <col min="14836" max="14836" width="15.85546875" bestFit="1" customWidth="1"/>
    <col min="15090" max="15090" width="69" bestFit="1" customWidth="1"/>
    <col min="15091" max="15091" width="26.140625" bestFit="1" customWidth="1"/>
    <col min="15092" max="15092" width="15.85546875" bestFit="1" customWidth="1"/>
    <col min="15346" max="15346" width="69" bestFit="1" customWidth="1"/>
    <col min="15347" max="15347" width="26.140625" bestFit="1" customWidth="1"/>
    <col min="15348" max="15348" width="15.85546875" bestFit="1" customWidth="1"/>
    <col min="15602" max="15602" width="69" bestFit="1" customWidth="1"/>
    <col min="15603" max="15603" width="26.140625" bestFit="1" customWidth="1"/>
    <col min="15604" max="15604" width="15.85546875" bestFit="1" customWidth="1"/>
    <col min="15858" max="15858" width="69" bestFit="1" customWidth="1"/>
    <col min="15859" max="15859" width="26.140625" bestFit="1" customWidth="1"/>
    <col min="15860" max="15860" width="15.85546875" bestFit="1" customWidth="1"/>
    <col min="16114" max="16114" width="69" bestFit="1" customWidth="1"/>
    <col min="16115" max="16115" width="26.140625" bestFit="1" customWidth="1"/>
    <col min="16116" max="16116" width="15.85546875" bestFit="1" customWidth="1"/>
  </cols>
  <sheetData>
    <row r="1" spans="1:27" x14ac:dyDescent="0.25">
      <c r="N1" s="347"/>
      <c r="O1" s="347"/>
      <c r="P1" s="347"/>
      <c r="Q1" s="347"/>
      <c r="R1" s="347"/>
      <c r="S1" s="347"/>
      <c r="T1" s="347"/>
      <c r="U1" s="347"/>
      <c r="V1" s="347"/>
      <c r="X1" s="150" t="s">
        <v>264</v>
      </c>
    </row>
    <row r="2" spans="1:27" x14ac:dyDescent="0.25">
      <c r="A2" s="1556" t="s">
        <v>38</v>
      </c>
      <c r="B2" s="1556"/>
      <c r="C2" s="1556"/>
      <c r="D2" s="1556"/>
      <c r="E2" s="1556"/>
      <c r="F2" s="1556"/>
      <c r="G2" s="1556"/>
      <c r="H2" s="1556"/>
      <c r="I2" s="1556"/>
      <c r="J2" s="1556"/>
      <c r="K2" s="1556"/>
      <c r="L2" s="1556"/>
      <c r="M2" s="1556"/>
      <c r="N2" s="1556"/>
      <c r="O2" s="1556"/>
      <c r="P2" s="1556"/>
      <c r="Q2" s="1556"/>
      <c r="R2" s="1556"/>
      <c r="S2" s="1556"/>
      <c r="T2" s="1556"/>
      <c r="U2" s="1556"/>
      <c r="V2" s="1556"/>
    </row>
    <row r="3" spans="1:27" x14ac:dyDescent="0.25">
      <c r="A3" s="1556" t="s">
        <v>276</v>
      </c>
      <c r="B3" s="1556"/>
      <c r="C3" s="1556"/>
      <c r="D3" s="1556"/>
      <c r="E3" s="1556"/>
      <c r="F3" s="1556"/>
      <c r="G3" s="1556"/>
      <c r="H3" s="1556"/>
      <c r="I3" s="1556"/>
      <c r="J3" s="1556"/>
      <c r="K3" s="1556"/>
      <c r="L3" s="1556"/>
      <c r="M3" s="1556"/>
      <c r="N3" s="1556"/>
      <c r="O3" s="1556"/>
      <c r="P3" s="1556"/>
      <c r="Q3" s="1556"/>
      <c r="R3" s="1556"/>
      <c r="S3" s="1556"/>
      <c r="T3" s="1556"/>
      <c r="U3" s="1556"/>
      <c r="V3" s="1556"/>
    </row>
    <row r="4" spans="1:27" ht="15.75" thickBot="1" x14ac:dyDescent="0.3">
      <c r="A4" s="477" t="s">
        <v>457</v>
      </c>
      <c r="B4" s="177"/>
      <c r="C4" s="177"/>
      <c r="D4" s="177"/>
      <c r="E4" s="177"/>
      <c r="F4" s="177"/>
      <c r="G4" s="348"/>
      <c r="H4" s="348"/>
      <c r="I4" s="348"/>
      <c r="J4" s="348"/>
      <c r="K4" s="348"/>
      <c r="L4" s="348"/>
      <c r="M4" s="348"/>
      <c r="N4" s="348"/>
      <c r="O4" s="348"/>
      <c r="P4" s="348"/>
      <c r="Q4" s="348"/>
      <c r="R4" s="348"/>
      <c r="S4" s="348"/>
      <c r="T4" s="348"/>
      <c r="U4" s="348"/>
      <c r="V4" s="348"/>
    </row>
    <row r="5" spans="1:27" ht="15.75" thickBot="1" x14ac:dyDescent="0.3">
      <c r="A5" s="94"/>
      <c r="B5" s="1"/>
      <c r="C5" s="1"/>
      <c r="D5" s="157"/>
      <c r="E5" s="476">
        <v>2018</v>
      </c>
      <c r="F5" s="1557" t="s">
        <v>275</v>
      </c>
      <c r="G5" s="1558"/>
      <c r="H5" s="1559"/>
      <c r="I5" s="349"/>
      <c r="J5" s="349"/>
      <c r="K5" s="349"/>
      <c r="L5" s="349"/>
      <c r="M5" s="349"/>
      <c r="N5" s="349"/>
      <c r="O5" s="349"/>
      <c r="P5" s="349"/>
      <c r="Q5" s="349"/>
      <c r="R5" s="349"/>
      <c r="S5" s="349"/>
      <c r="T5" s="189"/>
      <c r="AA5" s="96"/>
    </row>
    <row r="6" spans="1:27" ht="26.25" thickBot="1" x14ac:dyDescent="0.3">
      <c r="A6" s="2" t="s">
        <v>21</v>
      </c>
      <c r="B6" s="113" t="s">
        <v>110</v>
      </c>
      <c r="C6" s="114" t="s">
        <v>111</v>
      </c>
      <c r="D6" s="115" t="s">
        <v>112</v>
      </c>
      <c r="E6" s="351" t="s">
        <v>1</v>
      </c>
      <c r="F6" s="351" t="s">
        <v>1</v>
      </c>
      <c r="G6" s="352" t="s">
        <v>39</v>
      </c>
      <c r="H6" s="353" t="s">
        <v>2</v>
      </c>
      <c r="I6" s="354" t="s">
        <v>3</v>
      </c>
      <c r="J6" s="354" t="s">
        <v>4</v>
      </c>
      <c r="K6" s="354" t="s">
        <v>5</v>
      </c>
      <c r="L6" s="354" t="s">
        <v>6</v>
      </c>
      <c r="M6" s="354" t="s">
        <v>7</v>
      </c>
      <c r="N6" s="354" t="s">
        <v>8</v>
      </c>
      <c r="O6" s="354" t="s">
        <v>9</v>
      </c>
      <c r="P6" s="354" t="s">
        <v>10</v>
      </c>
      <c r="Q6" s="354" t="s">
        <v>11</v>
      </c>
      <c r="R6" s="354" t="s">
        <v>12</v>
      </c>
      <c r="S6" s="354" t="s">
        <v>13</v>
      </c>
      <c r="T6" s="354" t="s">
        <v>14</v>
      </c>
      <c r="U6" s="354" t="s">
        <v>95</v>
      </c>
      <c r="V6" s="355" t="s">
        <v>172</v>
      </c>
      <c r="AA6" s="96"/>
    </row>
    <row r="7" spans="1:27" x14ac:dyDescent="0.25">
      <c r="A7" s="105" t="s">
        <v>26</v>
      </c>
      <c r="B7" s="117">
        <v>43467</v>
      </c>
      <c r="C7" s="118">
        <v>43829</v>
      </c>
      <c r="D7" s="165">
        <f>DAYS360(B7,C7)+1</f>
        <v>359</v>
      </c>
      <c r="E7" s="356">
        <v>1981353</v>
      </c>
      <c r="F7" s="356">
        <v>2154663</v>
      </c>
      <c r="G7" s="357"/>
      <c r="H7" s="357">
        <f>SUM(F7:G7)</f>
        <v>2154663</v>
      </c>
      <c r="I7" s="357">
        <f>ROUND(+((F7/'Supuestos Gastos '!$F$12)*D7),0)</f>
        <v>25784134</v>
      </c>
      <c r="J7" s="357">
        <f>ROUND(+((H7*D7)/'Supuestos Gastos '!$F$10),0)</f>
        <v>2148678</v>
      </c>
      <c r="K7" s="357">
        <f>+ROUND(((H7/30)*D7)*0.01,-3)</f>
        <v>258000</v>
      </c>
      <c r="L7" s="357">
        <f>+J7</f>
        <v>2148678</v>
      </c>
      <c r="M7" s="357">
        <f>ROUND(+(F7*D7)/720,0)</f>
        <v>1074339</v>
      </c>
      <c r="N7" s="357">
        <f>ROUNDUP((+$I7)*'Supuestos Gastos '!$F$19,-3)</f>
        <v>3095000</v>
      </c>
      <c r="O7" s="357">
        <f>ROUNDUP((+$I7)*'Supuestos Gastos '!$F$20,-3)</f>
        <v>2192000</v>
      </c>
      <c r="P7" s="357">
        <f>ROUNDUP((+$I7)*'Supuestos Gastos '!$F$22,-3)</f>
        <v>135000</v>
      </c>
      <c r="Q7" s="357">
        <f>ROUND((I7*4%)+(M7*4%),-3)</f>
        <v>1074000</v>
      </c>
      <c r="R7" s="357">
        <f>ROUND((I7*2%)+(M7*2%),0-3)</f>
        <v>537000</v>
      </c>
      <c r="S7" s="357">
        <f>ROUND((I7*3%)+(M7*3%),-3)</f>
        <v>806000</v>
      </c>
      <c r="T7" s="357">
        <f>SUM(I7:S7)</f>
        <v>39252829</v>
      </c>
      <c r="U7" s="358"/>
      <c r="V7" s="359">
        <f>+U7+T7</f>
        <v>39252829</v>
      </c>
      <c r="X7" s="150">
        <f>(E7*4.09%)+E7</f>
        <v>2062390.3377</v>
      </c>
      <c r="Y7" s="435">
        <f>+H7-X7</f>
        <v>92272.662299999967</v>
      </c>
      <c r="Z7" s="168" t="s">
        <v>263</v>
      </c>
      <c r="AA7" s="168"/>
    </row>
    <row r="8" spans="1:27" ht="15.75" thickBot="1" x14ac:dyDescent="0.3">
      <c r="A8" s="106" t="s">
        <v>517</v>
      </c>
      <c r="B8" s="100">
        <v>43467</v>
      </c>
      <c r="C8" s="100">
        <v>43829</v>
      </c>
      <c r="D8" s="161">
        <f>DAYS360(B8,C8)+1</f>
        <v>359</v>
      </c>
      <c r="E8" s="360">
        <v>1320902</v>
      </c>
      <c r="F8" s="356">
        <f>+E8*(1+'Supuestos Gastos '!$F$6)</f>
        <v>1367133.5699999998</v>
      </c>
      <c r="G8" s="361">
        <f>+'Supuestos Gastos '!F14</f>
        <v>92621.55</v>
      </c>
      <c r="H8" s="361">
        <f>SUM(F8:G8)</f>
        <v>1459755.1199999999</v>
      </c>
      <c r="I8" s="361">
        <f>ROUND(+((F8/'Supuestos Gastos '!$F$12)*D8),0)</f>
        <v>16360032</v>
      </c>
      <c r="J8" s="361">
        <f>ROUND(+((H8*D8)/'Supuestos Gastos '!$F$10),0)</f>
        <v>1455700</v>
      </c>
      <c r="K8" s="361">
        <f>+ROUND(((H8/30)*D8)*0.01,-3)</f>
        <v>175000</v>
      </c>
      <c r="L8" s="361">
        <f>+J8</f>
        <v>1455700</v>
      </c>
      <c r="M8" s="361">
        <f>ROUND(+(F8*D8)/720,0)</f>
        <v>681668</v>
      </c>
      <c r="N8" s="361">
        <f>ROUNDUP((+$I8)*'Supuestos Gastos '!$F$19,-3)</f>
        <v>1964000</v>
      </c>
      <c r="O8" s="361">
        <f>ROUNDUP((+$I8)*'Supuestos Gastos '!$F$20,-3)</f>
        <v>1391000</v>
      </c>
      <c r="P8" s="361">
        <f>ROUNDUP((+$I8)*'Supuestos Gastos '!$F$22,-3)</f>
        <v>86000</v>
      </c>
      <c r="Q8" s="361">
        <f t="shared" ref="Q8" si="0">ROUND((I8*4%)+(M8*4%),-3)</f>
        <v>682000</v>
      </c>
      <c r="R8" s="361">
        <f>ROUND((I8*2%)+(M8*2%),0-3)</f>
        <v>341000</v>
      </c>
      <c r="S8" s="361">
        <f>ROUND((I8*3%)+(M8*3%),-3)</f>
        <v>511000</v>
      </c>
      <c r="T8" s="361">
        <f>ROUND(SUM(I8:S8)+((G8/30)*D8),0)</f>
        <v>26211471</v>
      </c>
      <c r="U8" s="362">
        <f>+T11</f>
        <v>683565.75</v>
      </c>
      <c r="V8" s="363">
        <f>+U8+T8</f>
        <v>26895036.75</v>
      </c>
      <c r="X8" s="150">
        <f>(E8*4.09%)+E8</f>
        <v>1374926.8918000001</v>
      </c>
      <c r="Y8" s="150">
        <f>+F8-X8</f>
        <v>-7793.3218000002671</v>
      </c>
    </row>
    <row r="9" spans="1:27" s="119" customFormat="1" ht="15.75" thickBot="1" x14ac:dyDescent="0.3">
      <c r="A9" s="104" t="s">
        <v>29</v>
      </c>
      <c r="B9" s="102"/>
      <c r="C9" s="92"/>
      <c r="D9" s="162"/>
      <c r="E9" s="364">
        <f t="shared" ref="E9:V9" si="1">SUM(E7:E8)</f>
        <v>3302255</v>
      </c>
      <c r="F9" s="364">
        <f>SUM(F7:F8)</f>
        <v>3521796.57</v>
      </c>
      <c r="G9" s="365">
        <f t="shared" si="1"/>
        <v>92621.55</v>
      </c>
      <c r="H9" s="365">
        <f t="shared" si="1"/>
        <v>3614418.12</v>
      </c>
      <c r="I9" s="365">
        <f t="shared" si="1"/>
        <v>42144166</v>
      </c>
      <c r="J9" s="365">
        <f t="shared" si="1"/>
        <v>3604378</v>
      </c>
      <c r="K9" s="365">
        <f t="shared" si="1"/>
        <v>433000</v>
      </c>
      <c r="L9" s="365">
        <f t="shared" si="1"/>
        <v>3604378</v>
      </c>
      <c r="M9" s="365">
        <f>SUM(M7:M8)</f>
        <v>1756007</v>
      </c>
      <c r="N9" s="365">
        <f>SUM(N7:N8)</f>
        <v>5059000</v>
      </c>
      <c r="O9" s="365">
        <f t="shared" si="1"/>
        <v>3583000</v>
      </c>
      <c r="P9" s="365">
        <f t="shared" si="1"/>
        <v>221000</v>
      </c>
      <c r="Q9" s="365">
        <f t="shared" si="1"/>
        <v>1756000</v>
      </c>
      <c r="R9" s="365">
        <f t="shared" si="1"/>
        <v>878000</v>
      </c>
      <c r="S9" s="365">
        <f t="shared" si="1"/>
        <v>1317000</v>
      </c>
      <c r="T9" s="365">
        <f t="shared" si="1"/>
        <v>65464300</v>
      </c>
      <c r="U9" s="366">
        <f t="shared" si="1"/>
        <v>683565.75</v>
      </c>
      <c r="V9" s="367">
        <f t="shared" si="1"/>
        <v>66147865.75</v>
      </c>
      <c r="W9" s="151"/>
      <c r="X9" s="150"/>
      <c r="Y9" s="150"/>
      <c r="Z9"/>
      <c r="AA9"/>
    </row>
    <row r="10" spans="1:27" ht="15.75" thickBot="1" x14ac:dyDescent="0.3">
      <c r="A10" s="166"/>
      <c r="B10" s="111"/>
      <c r="C10" s="111"/>
      <c r="D10" s="157"/>
      <c r="E10" s="368"/>
      <c r="F10" s="369"/>
      <c r="G10" s="370"/>
      <c r="H10" s="370"/>
      <c r="I10" s="370"/>
      <c r="J10" s="370"/>
      <c r="K10" s="370"/>
      <c r="L10" s="370"/>
      <c r="M10" s="370"/>
      <c r="N10" s="370"/>
      <c r="O10" s="370"/>
      <c r="P10" s="370"/>
      <c r="Q10" s="370"/>
      <c r="R10" s="370"/>
      <c r="S10" s="370"/>
      <c r="T10" s="370"/>
      <c r="U10" s="96"/>
      <c r="V10" s="96"/>
    </row>
    <row r="11" spans="1:27" s="119" customFormat="1" ht="15.75" thickBot="1" x14ac:dyDescent="0.3">
      <c r="A11" s="104" t="s">
        <v>103</v>
      </c>
      <c r="B11" s="58"/>
      <c r="C11" s="58"/>
      <c r="D11" s="163"/>
      <c r="E11" s="371"/>
      <c r="F11" s="372"/>
      <c r="G11" s="373"/>
      <c r="H11" s="373"/>
      <c r="I11" s="373"/>
      <c r="J11" s="373"/>
      <c r="K11" s="373"/>
      <c r="L11" s="373"/>
      <c r="M11" s="373"/>
      <c r="N11" s="374"/>
      <c r="O11" s="374"/>
      <c r="P11" s="374"/>
      <c r="Q11" s="374"/>
      <c r="R11" s="374"/>
      <c r="S11" s="374"/>
      <c r="T11" s="375">
        <f>(660450*'Supuestos Gastos '!$F$6)+660450</f>
        <v>683565.75</v>
      </c>
      <c r="U11" s="376"/>
      <c r="V11" s="376"/>
      <c r="W11" s="151"/>
      <c r="X11" s="150"/>
      <c r="Y11" s="150"/>
      <c r="Z11"/>
      <c r="AA11" s="96"/>
    </row>
    <row r="12" spans="1:27" s="119" customFormat="1" ht="15.75" thickBot="1" x14ac:dyDescent="0.3">
      <c r="A12" s="9"/>
      <c r="B12" s="9"/>
      <c r="C12" s="9"/>
      <c r="D12" s="164"/>
      <c r="E12" s="377"/>
      <c r="F12" s="372"/>
      <c r="G12" s="373"/>
      <c r="H12" s="373"/>
      <c r="I12" s="378"/>
      <c r="J12" s="378"/>
      <c r="K12" s="378"/>
      <c r="L12" s="378"/>
      <c r="M12" s="378"/>
      <c r="N12" s="379"/>
      <c r="O12" s="379"/>
      <c r="P12" s="379"/>
      <c r="Q12" s="379"/>
      <c r="R12" s="379"/>
      <c r="S12" s="379"/>
      <c r="T12" s="379"/>
      <c r="U12" s="376"/>
      <c r="V12" s="376"/>
      <c r="W12" s="151"/>
      <c r="X12" s="150"/>
      <c r="Y12" s="150"/>
      <c r="Z12"/>
      <c r="AA12" s="96"/>
    </row>
    <row r="13" spans="1:27" ht="15.75" thickBot="1" x14ac:dyDescent="0.3">
      <c r="C13" s="57"/>
      <c r="D13" s="160"/>
      <c r="E13" s="476">
        <v>2018</v>
      </c>
      <c r="F13" s="1557" t="s">
        <v>275</v>
      </c>
      <c r="G13" s="1558"/>
      <c r="H13" s="1559"/>
      <c r="I13" s="380"/>
      <c r="J13" s="380"/>
      <c r="K13" s="380"/>
      <c r="L13" s="380"/>
      <c r="M13" s="380"/>
      <c r="N13" s="380"/>
      <c r="O13" s="380"/>
      <c r="P13" s="380"/>
      <c r="Q13" s="380"/>
      <c r="R13" s="380"/>
      <c r="S13" s="380"/>
      <c r="T13" s="381"/>
      <c r="U13" s="96"/>
      <c r="V13" s="96"/>
    </row>
    <row r="14" spans="1:27" ht="26.25" thickBot="1" x14ac:dyDescent="0.3">
      <c r="A14" s="2" t="s">
        <v>20</v>
      </c>
      <c r="B14" s="113" t="s">
        <v>110</v>
      </c>
      <c r="C14" s="114" t="s">
        <v>111</v>
      </c>
      <c r="D14" s="436" t="s">
        <v>112</v>
      </c>
      <c r="E14" s="458" t="s">
        <v>1</v>
      </c>
      <c r="F14" s="455" t="s">
        <v>1</v>
      </c>
      <c r="G14" s="352" t="s">
        <v>39</v>
      </c>
      <c r="H14" s="444" t="s">
        <v>2</v>
      </c>
      <c r="I14" s="440" t="s">
        <v>3</v>
      </c>
      <c r="J14" s="354" t="s">
        <v>4</v>
      </c>
      <c r="K14" s="354" t="s">
        <v>5</v>
      </c>
      <c r="L14" s="354" t="s">
        <v>6</v>
      </c>
      <c r="M14" s="354" t="s">
        <v>7</v>
      </c>
      <c r="N14" s="354" t="s">
        <v>8</v>
      </c>
      <c r="O14" s="354" t="s">
        <v>9</v>
      </c>
      <c r="P14" s="354" t="s">
        <v>10</v>
      </c>
      <c r="Q14" s="354" t="s">
        <v>11</v>
      </c>
      <c r="R14" s="354" t="s">
        <v>12</v>
      </c>
      <c r="S14" s="354" t="s">
        <v>13</v>
      </c>
      <c r="T14" s="354" t="s">
        <v>14</v>
      </c>
      <c r="U14" s="354" t="s">
        <v>95</v>
      </c>
      <c r="V14" s="355" t="s">
        <v>172</v>
      </c>
    </row>
    <row r="15" spans="1:27" x14ac:dyDescent="0.25">
      <c r="A15" s="1111" t="s">
        <v>47</v>
      </c>
      <c r="B15" s="1098">
        <v>43467</v>
      </c>
      <c r="C15" s="118">
        <v>43829</v>
      </c>
      <c r="D15" s="1099">
        <f>DAYS360(B15,C15)+1</f>
        <v>359</v>
      </c>
      <c r="E15" s="1095">
        <v>3408291</v>
      </c>
      <c r="F15" s="470">
        <f>+E15*(1+'Supuestos Gastos '!$F$6)</f>
        <v>3527581.1849999996</v>
      </c>
      <c r="G15" s="382"/>
      <c r="H15" s="1105">
        <f t="shared" ref="H15:H24" si="2">SUM(F15:G15)</f>
        <v>3527581.1849999996</v>
      </c>
      <c r="I15" s="471">
        <f>ROUND(+((F15/'Supuestos Gastos '!$F$12)*D15),0)</f>
        <v>42213388</v>
      </c>
      <c r="J15" s="382">
        <f>ROUND(+((H15*D15)/'Supuestos Gastos '!$F$10),0)</f>
        <v>3517782</v>
      </c>
      <c r="K15" s="382">
        <f t="shared" ref="K15" si="3">+ROUND(((H15/30)*D15)*0.01,-3)</f>
        <v>422000</v>
      </c>
      <c r="L15" s="382">
        <f t="shared" ref="L15:L24" si="4">+J15</f>
        <v>3517782</v>
      </c>
      <c r="M15" s="382">
        <f t="shared" ref="M15:M26" si="5">ROUND(+(F15*D15)/720,0)</f>
        <v>1758891</v>
      </c>
      <c r="N15" s="382">
        <f>ROUNDUP((+$I15)*'Supuestos Gastos '!$F$19,-3)</f>
        <v>5066000</v>
      </c>
      <c r="O15" s="382">
        <f>ROUNDUP((+$I15)*'Supuestos Gastos '!$F$20,-3)</f>
        <v>3589000</v>
      </c>
      <c r="P15" s="382">
        <f>ROUNDUP((+$I15)*'Supuestos Gastos '!$F$23,-3)</f>
        <v>441000</v>
      </c>
      <c r="Q15" s="382">
        <f>ROUND((I15*4%)+(M15*4%),-3)</f>
        <v>1759000</v>
      </c>
      <c r="R15" s="382">
        <f>ROUND((I15*2%)+(M15*2%),0-3)</f>
        <v>879000</v>
      </c>
      <c r="S15" s="382">
        <f>ROUND((I15*3%)+(M15*3%),-3)</f>
        <v>1319000</v>
      </c>
      <c r="T15" s="382">
        <f>SUM(I15:S15)</f>
        <v>64482843</v>
      </c>
      <c r="U15" s="382"/>
      <c r="V15" s="383">
        <f>+T15+U15</f>
        <v>64482843</v>
      </c>
      <c r="X15" s="150">
        <f>(E15*4.09%)+E15</f>
        <v>3547690.1019000001</v>
      </c>
      <c r="Y15" s="150">
        <f>+H15-X15</f>
        <v>-20108.916900000535</v>
      </c>
      <c r="AA15" s="96"/>
    </row>
    <row r="16" spans="1:27" x14ac:dyDescent="0.25">
      <c r="A16" s="103" t="s">
        <v>15</v>
      </c>
      <c r="B16" s="1100">
        <v>43466</v>
      </c>
      <c r="C16" s="91">
        <v>43829</v>
      </c>
      <c r="D16" s="1101">
        <f t="shared" ref="D16:D27" si="6">DAYS360(B16,C16)+1</f>
        <v>360</v>
      </c>
      <c r="E16" s="1096">
        <v>1981353</v>
      </c>
      <c r="F16" s="457">
        <v>1981353</v>
      </c>
      <c r="G16" s="384"/>
      <c r="H16" s="462">
        <f t="shared" si="2"/>
        <v>1981353</v>
      </c>
      <c r="I16" s="461">
        <f>ROUND(+((F16/'Supuestos Gastos '!$F$12)*D16),0)</f>
        <v>23776236</v>
      </c>
      <c r="J16" s="384">
        <f>ROUND(+((H16*D16)/'Supuestos Gastos '!$F$10),0)</f>
        <v>1981353</v>
      </c>
      <c r="K16" s="384">
        <f>+ROUND(((H16/30)*D16)*0.01,-3)</f>
        <v>238000</v>
      </c>
      <c r="L16" s="384">
        <f t="shared" si="4"/>
        <v>1981353</v>
      </c>
      <c r="M16" s="384">
        <f t="shared" si="5"/>
        <v>990677</v>
      </c>
      <c r="N16" s="384">
        <f>ROUNDUP((+$I16)*'Supuestos Gastos '!$F$19,-3)</f>
        <v>2854000</v>
      </c>
      <c r="O16" s="384">
        <f>ROUNDUP((+$I16)*'Supuestos Gastos '!$F$20,-3)</f>
        <v>2021000</v>
      </c>
      <c r="P16" s="384">
        <f>ROUNDUP((+$I16)*'Supuestos Gastos '!$F$23,-3)</f>
        <v>249000</v>
      </c>
      <c r="Q16" s="384">
        <f t="shared" ref="Q16:Q26" si="7">ROUND((I16*4%)+(M16*4%),-3)</f>
        <v>991000</v>
      </c>
      <c r="R16" s="384">
        <f t="shared" ref="R16:R26" si="8">ROUND((I16*2%)+(M16*2%),0-3)</f>
        <v>495000</v>
      </c>
      <c r="S16" s="384">
        <f t="shared" ref="S16:S26" si="9">ROUND((I16*3%)+(M16*3%),-3)</f>
        <v>743000</v>
      </c>
      <c r="T16" s="384">
        <f>SUM(I16:S16)</f>
        <v>36320619</v>
      </c>
      <c r="U16" s="384"/>
      <c r="V16" s="385">
        <f>+T16+U16</f>
        <v>36320619</v>
      </c>
      <c r="X16" s="150">
        <f t="shared" ref="X16:X50" si="10">(E16*4.09%)+E16</f>
        <v>2062390.3377</v>
      </c>
      <c r="Y16" s="150">
        <f t="shared" ref="Y16:Y49" si="11">+H16-X16</f>
        <v>-81037.337700000033</v>
      </c>
      <c r="AA16" s="96"/>
    </row>
    <row r="17" spans="1:27" x14ac:dyDescent="0.25">
      <c r="A17" s="103" t="s">
        <v>16</v>
      </c>
      <c r="B17" s="1100">
        <v>43475</v>
      </c>
      <c r="C17" s="91">
        <v>43829</v>
      </c>
      <c r="D17" s="1101">
        <f t="shared" si="6"/>
        <v>351</v>
      </c>
      <c r="E17" s="1096">
        <v>1981353</v>
      </c>
      <c r="F17" s="457">
        <v>1981353</v>
      </c>
      <c r="G17" s="384"/>
      <c r="H17" s="462">
        <f t="shared" si="2"/>
        <v>1981353</v>
      </c>
      <c r="I17" s="461">
        <f>ROUND(+((F17/'Supuestos Gastos '!$F$12)*D17),0)</f>
        <v>23181830</v>
      </c>
      <c r="J17" s="384">
        <f>ROUND(+((H17*D17)/'Supuestos Gastos '!$F$10),0)</f>
        <v>1931819</v>
      </c>
      <c r="K17" s="384">
        <f t="shared" ref="K17:K26" si="12">+ROUND(((H17/30)*D17)*0.01,-3)</f>
        <v>232000</v>
      </c>
      <c r="L17" s="384">
        <f t="shared" si="4"/>
        <v>1931819</v>
      </c>
      <c r="M17" s="384">
        <f t="shared" si="5"/>
        <v>965910</v>
      </c>
      <c r="N17" s="384">
        <f>ROUNDUP((+$I17)*'Supuestos Gastos '!$F$19,-3)</f>
        <v>2782000</v>
      </c>
      <c r="O17" s="384">
        <f>ROUNDUP((+$I17)*'Supuestos Gastos '!$F$20,-3)</f>
        <v>1971000</v>
      </c>
      <c r="P17" s="384">
        <f>ROUNDUP((+$I17)*'Supuestos Gastos '!$F$23,-3)</f>
        <v>243000</v>
      </c>
      <c r="Q17" s="384">
        <f t="shared" si="7"/>
        <v>966000</v>
      </c>
      <c r="R17" s="384">
        <f t="shared" si="8"/>
        <v>483000</v>
      </c>
      <c r="S17" s="384">
        <f t="shared" si="9"/>
        <v>724000</v>
      </c>
      <c r="T17" s="384">
        <f t="shared" ref="T17:T20" si="13">SUM(I17:S17)</f>
        <v>35412378</v>
      </c>
      <c r="U17" s="384"/>
      <c r="V17" s="385">
        <f>+T17+U17</f>
        <v>35412378</v>
      </c>
      <c r="X17" s="150">
        <f t="shared" si="10"/>
        <v>2062390.3377</v>
      </c>
      <c r="Y17" s="150">
        <f t="shared" si="11"/>
        <v>-81037.337700000033</v>
      </c>
      <c r="AA17" s="96"/>
    </row>
    <row r="18" spans="1:27" x14ac:dyDescent="0.25">
      <c r="A18" s="103" t="s">
        <v>17</v>
      </c>
      <c r="B18" s="1100">
        <v>43475</v>
      </c>
      <c r="C18" s="91">
        <v>43829</v>
      </c>
      <c r="D18" s="1101">
        <f t="shared" si="6"/>
        <v>351</v>
      </c>
      <c r="E18" s="1096">
        <v>1981353</v>
      </c>
      <c r="F18" s="457">
        <v>1981353</v>
      </c>
      <c r="G18" s="384"/>
      <c r="H18" s="462">
        <f t="shared" si="2"/>
        <v>1981353</v>
      </c>
      <c r="I18" s="461">
        <f>ROUND(+((F18/'Supuestos Gastos '!$F$12)*D18),0)</f>
        <v>23181830</v>
      </c>
      <c r="J18" s="384">
        <f>ROUND(+((H18*D18)/'Supuestos Gastos '!$F$10),0)</f>
        <v>1931819</v>
      </c>
      <c r="K18" s="384">
        <f t="shared" si="12"/>
        <v>232000</v>
      </c>
      <c r="L18" s="384">
        <f t="shared" si="4"/>
        <v>1931819</v>
      </c>
      <c r="M18" s="384">
        <f t="shared" si="5"/>
        <v>965910</v>
      </c>
      <c r="N18" s="384">
        <f>ROUNDUP((+$I18)*'Supuestos Gastos '!$F$19,-3)</f>
        <v>2782000</v>
      </c>
      <c r="O18" s="384">
        <f>ROUNDUP((+$I18)*'Supuestos Gastos '!$F$20,-3)</f>
        <v>1971000</v>
      </c>
      <c r="P18" s="384">
        <f>ROUNDUP((+$I18)*'Supuestos Gastos '!$F$23,-3)</f>
        <v>243000</v>
      </c>
      <c r="Q18" s="384">
        <f t="shared" si="7"/>
        <v>966000</v>
      </c>
      <c r="R18" s="384">
        <f t="shared" si="8"/>
        <v>483000</v>
      </c>
      <c r="S18" s="384">
        <f t="shared" si="9"/>
        <v>724000</v>
      </c>
      <c r="T18" s="384">
        <f t="shared" si="13"/>
        <v>35412378</v>
      </c>
      <c r="U18" s="384"/>
      <c r="V18" s="385">
        <f>+T18+U18</f>
        <v>35412378</v>
      </c>
      <c r="X18" s="150">
        <f t="shared" si="10"/>
        <v>2062390.3377</v>
      </c>
      <c r="Y18" s="150">
        <f t="shared" si="11"/>
        <v>-81037.337700000033</v>
      </c>
      <c r="AA18" s="96"/>
    </row>
    <row r="19" spans="1:27" x14ac:dyDescent="0.25">
      <c r="A19" s="103" t="s">
        <v>18</v>
      </c>
      <c r="B19" s="1100">
        <v>43475</v>
      </c>
      <c r="C19" s="91">
        <v>43829</v>
      </c>
      <c r="D19" s="1101">
        <f t="shared" si="6"/>
        <v>351</v>
      </c>
      <c r="E19" s="1096">
        <v>1981353</v>
      </c>
      <c r="F19" s="457">
        <v>1981353</v>
      </c>
      <c r="G19" s="384"/>
      <c r="H19" s="462">
        <f t="shared" si="2"/>
        <v>1981353</v>
      </c>
      <c r="I19" s="461">
        <f>ROUND(+((F19/'Supuestos Gastos '!$F$12)*D19),0)</f>
        <v>23181830</v>
      </c>
      <c r="J19" s="384">
        <f>ROUND(+((H19*D19)/'Supuestos Gastos '!$F$10),0)</f>
        <v>1931819</v>
      </c>
      <c r="K19" s="384">
        <f t="shared" si="12"/>
        <v>232000</v>
      </c>
      <c r="L19" s="384">
        <f t="shared" si="4"/>
        <v>1931819</v>
      </c>
      <c r="M19" s="384">
        <f t="shared" si="5"/>
        <v>965910</v>
      </c>
      <c r="N19" s="384">
        <f>ROUNDUP((+$I19)*'Supuestos Gastos '!$F$19,-3)</f>
        <v>2782000</v>
      </c>
      <c r="O19" s="384">
        <f>ROUNDUP((+$I19)*'Supuestos Gastos '!$F$20,-3)</f>
        <v>1971000</v>
      </c>
      <c r="P19" s="384">
        <f>ROUNDUP((+$I19)*'Supuestos Gastos '!$F$23,-3)</f>
        <v>243000</v>
      </c>
      <c r="Q19" s="384">
        <f t="shared" si="7"/>
        <v>966000</v>
      </c>
      <c r="R19" s="384">
        <f t="shared" si="8"/>
        <v>483000</v>
      </c>
      <c r="S19" s="384">
        <f t="shared" si="9"/>
        <v>724000</v>
      </c>
      <c r="T19" s="384">
        <f t="shared" si="13"/>
        <v>35412378</v>
      </c>
      <c r="U19" s="384"/>
      <c r="V19" s="385">
        <f>+T19+U19</f>
        <v>35412378</v>
      </c>
      <c r="X19" s="150">
        <f t="shared" si="10"/>
        <v>2062390.3377</v>
      </c>
      <c r="Y19" s="150">
        <f t="shared" si="11"/>
        <v>-81037.337700000033</v>
      </c>
      <c r="AA19" s="96"/>
    </row>
    <row r="20" spans="1:27" x14ac:dyDescent="0.25">
      <c r="A20" s="103" t="s">
        <v>48</v>
      </c>
      <c r="B20" s="1100">
        <v>43475</v>
      </c>
      <c r="C20" s="91">
        <v>43829</v>
      </c>
      <c r="D20" s="1101">
        <f t="shared" si="6"/>
        <v>351</v>
      </c>
      <c r="E20" s="1096">
        <v>1981353</v>
      </c>
      <c r="F20" s="457">
        <v>1981353</v>
      </c>
      <c r="G20" s="384"/>
      <c r="H20" s="462">
        <f t="shared" si="2"/>
        <v>1981353</v>
      </c>
      <c r="I20" s="461">
        <f>ROUND(+((F20/'Supuestos Gastos '!$F$12)*D20),0)</f>
        <v>23181830</v>
      </c>
      <c r="J20" s="384">
        <f>ROUND(+((H20*D20)/'Supuestos Gastos '!$F$10),0)</f>
        <v>1931819</v>
      </c>
      <c r="K20" s="384">
        <f t="shared" si="12"/>
        <v>232000</v>
      </c>
      <c r="L20" s="384">
        <f t="shared" si="4"/>
        <v>1931819</v>
      </c>
      <c r="M20" s="384">
        <f t="shared" si="5"/>
        <v>965910</v>
      </c>
      <c r="N20" s="384">
        <f>ROUNDUP((+$I20)*'Supuestos Gastos '!$F$19,-3)</f>
        <v>2782000</v>
      </c>
      <c r="O20" s="384">
        <f>ROUNDUP((+$I20)*'Supuestos Gastos '!$F$20,-3)</f>
        <v>1971000</v>
      </c>
      <c r="P20" s="384">
        <f>ROUNDUP((+$I20)*'Supuestos Gastos '!$F$23,-3)</f>
        <v>243000</v>
      </c>
      <c r="Q20" s="384">
        <f t="shared" si="7"/>
        <v>966000</v>
      </c>
      <c r="R20" s="384">
        <f t="shared" si="8"/>
        <v>483000</v>
      </c>
      <c r="S20" s="384">
        <f t="shared" si="9"/>
        <v>724000</v>
      </c>
      <c r="T20" s="384">
        <f t="shared" si="13"/>
        <v>35412378</v>
      </c>
      <c r="U20" s="384"/>
      <c r="V20" s="385">
        <f t="shared" ref="V20:V26" si="14">+T20+U20</f>
        <v>35412378</v>
      </c>
      <c r="X20" s="150">
        <f t="shared" si="10"/>
        <v>2062390.3377</v>
      </c>
      <c r="Y20" s="150">
        <f t="shared" si="11"/>
        <v>-81037.337700000033</v>
      </c>
      <c r="AA20" s="96"/>
    </row>
    <row r="21" spans="1:27" x14ac:dyDescent="0.25">
      <c r="A21" s="103" t="s">
        <v>218</v>
      </c>
      <c r="B21" s="1100">
        <v>43475</v>
      </c>
      <c r="C21" s="91">
        <v>43829</v>
      </c>
      <c r="D21" s="1101">
        <f t="shared" ref="D21" si="15">DAYS360(B21,C21)+1</f>
        <v>351</v>
      </c>
      <c r="E21" s="1096">
        <v>1981353</v>
      </c>
      <c r="F21" s="457">
        <v>1981353</v>
      </c>
      <c r="G21" s="384"/>
      <c r="H21" s="462">
        <f t="shared" ref="H21" si="16">SUM(F21:G21)</f>
        <v>1981353</v>
      </c>
      <c r="I21" s="461">
        <f>ROUND(+((F21/'Supuestos Gastos '!$F$12)*D21),0)</f>
        <v>23181830</v>
      </c>
      <c r="J21" s="384">
        <f>ROUND(+((H21*D21)/'Supuestos Gastos '!$F$10),0)</f>
        <v>1931819</v>
      </c>
      <c r="K21" s="384">
        <f t="shared" si="12"/>
        <v>232000</v>
      </c>
      <c r="L21" s="384">
        <f t="shared" ref="L21" si="17">+J21</f>
        <v>1931819</v>
      </c>
      <c r="M21" s="384">
        <f t="shared" si="5"/>
        <v>965910</v>
      </c>
      <c r="N21" s="384">
        <f>ROUNDUP((+$I21)*'Supuestos Gastos '!$F$19,-3)</f>
        <v>2782000</v>
      </c>
      <c r="O21" s="384">
        <f>ROUNDUP((+$I21)*'Supuestos Gastos '!$F$20,-3)</f>
        <v>1971000</v>
      </c>
      <c r="P21" s="384">
        <f>ROUNDUP((+$I21)*'Supuestos Gastos '!$F$23,-3)</f>
        <v>243000</v>
      </c>
      <c r="Q21" s="384">
        <f t="shared" ref="Q21" si="18">ROUND((I21*4%)+(M21*4%),-3)</f>
        <v>966000</v>
      </c>
      <c r="R21" s="384">
        <f t="shared" ref="R21" si="19">ROUND((I21*2%)+(M21*2%),0-3)</f>
        <v>483000</v>
      </c>
      <c r="S21" s="384">
        <f t="shared" ref="S21" si="20">ROUND((I21*3%)+(M21*3%),-3)</f>
        <v>724000</v>
      </c>
      <c r="T21" s="384">
        <f t="shared" ref="T21" si="21">SUM(I21:S21)</f>
        <v>35412378</v>
      </c>
      <c r="U21" s="384"/>
      <c r="V21" s="385">
        <f t="shared" ref="V21" si="22">+T21+U21</f>
        <v>35412378</v>
      </c>
      <c r="X21" s="150">
        <f t="shared" si="10"/>
        <v>2062390.3377</v>
      </c>
      <c r="Y21" s="435">
        <f t="shared" si="11"/>
        <v>-81037.337700000033</v>
      </c>
      <c r="Z21" t="s">
        <v>263</v>
      </c>
      <c r="AA21" s="96"/>
    </row>
    <row r="22" spans="1:27" x14ac:dyDescent="0.25">
      <c r="A22" s="103" t="s">
        <v>439</v>
      </c>
      <c r="B22" s="1100">
        <v>43475</v>
      </c>
      <c r="C22" s="91">
        <v>43829</v>
      </c>
      <c r="D22" s="1101">
        <f t="shared" ref="D22:D23" si="23">DAYS360(B22,C22)+1</f>
        <v>351</v>
      </c>
      <c r="E22" s="1096">
        <v>0</v>
      </c>
      <c r="F22" s="457">
        <v>1981353</v>
      </c>
      <c r="G22" s="384"/>
      <c r="H22" s="462">
        <f t="shared" ref="H22:H23" si="24">SUM(F22:G22)</f>
        <v>1981353</v>
      </c>
      <c r="I22" s="461">
        <f>ROUND(+((F22/'Supuestos Gastos '!$F$12)*D22),0)</f>
        <v>23181830</v>
      </c>
      <c r="J22" s="384">
        <f>ROUND(+((H22*D22)/'Supuestos Gastos '!$F$10),0)</f>
        <v>1931819</v>
      </c>
      <c r="K22" s="384">
        <f t="shared" ref="K22:K23" si="25">+ROUND(((H22/30)*D22)*0.01,-3)</f>
        <v>232000</v>
      </c>
      <c r="L22" s="384">
        <f t="shared" ref="L22:L23" si="26">+J22</f>
        <v>1931819</v>
      </c>
      <c r="M22" s="384">
        <f t="shared" ref="M22:M23" si="27">ROUND(+(F22*D22)/720,0)</f>
        <v>965910</v>
      </c>
      <c r="N22" s="384">
        <f>ROUNDUP((+$I22)*'Supuestos Gastos '!$F$19,-3)</f>
        <v>2782000</v>
      </c>
      <c r="O22" s="384">
        <f>ROUNDUP((+$I22)*'Supuestos Gastos '!$F$20,-3)</f>
        <v>1971000</v>
      </c>
      <c r="P22" s="384">
        <f>ROUNDUP((+$I22)*'Supuestos Gastos '!$F$23,-3)</f>
        <v>243000</v>
      </c>
      <c r="Q22" s="384">
        <f t="shared" ref="Q22:Q23" si="28">ROUND((I22*4%)+(M22*4%),-3)</f>
        <v>966000</v>
      </c>
      <c r="R22" s="384">
        <f t="shared" ref="R22:R23" si="29">ROUND((I22*2%)+(M22*2%),0-3)</f>
        <v>483000</v>
      </c>
      <c r="S22" s="384">
        <f t="shared" ref="S22:S23" si="30">ROUND((I22*3%)+(M22*3%),-3)</f>
        <v>724000</v>
      </c>
      <c r="T22" s="384">
        <f t="shared" ref="T22:T23" si="31">SUM(I22:S22)</f>
        <v>35412378</v>
      </c>
      <c r="U22" s="384"/>
      <c r="V22" s="385">
        <f t="shared" ref="V22:V23" si="32">+T22+U22</f>
        <v>35412378</v>
      </c>
      <c r="X22" s="150">
        <f t="shared" ref="X22:X23" si="33">(E22*4.09%)+E22</f>
        <v>0</v>
      </c>
      <c r="Y22" s="435">
        <f t="shared" ref="Y22:Y23" si="34">+H22-X22</f>
        <v>1981353</v>
      </c>
      <c r="Z22" t="s">
        <v>263</v>
      </c>
      <c r="AA22" s="96"/>
    </row>
    <row r="23" spans="1:27" x14ac:dyDescent="0.25">
      <c r="A23" s="103" t="s">
        <v>440</v>
      </c>
      <c r="B23" s="1100">
        <v>43475</v>
      </c>
      <c r="C23" s="91">
        <v>43829</v>
      </c>
      <c r="D23" s="1101">
        <f t="shared" si="23"/>
        <v>351</v>
      </c>
      <c r="E23" s="1096">
        <v>0</v>
      </c>
      <c r="F23" s="457">
        <v>1981353</v>
      </c>
      <c r="G23" s="384"/>
      <c r="H23" s="462">
        <f t="shared" si="24"/>
        <v>1981353</v>
      </c>
      <c r="I23" s="461">
        <f>ROUND(+((F23/'Supuestos Gastos '!$F$12)*D23),0)</f>
        <v>23181830</v>
      </c>
      <c r="J23" s="384">
        <f>ROUND(+((H23*D23)/'Supuestos Gastos '!$F$10),0)</f>
        <v>1931819</v>
      </c>
      <c r="K23" s="384">
        <f t="shared" si="25"/>
        <v>232000</v>
      </c>
      <c r="L23" s="384">
        <f t="shared" si="26"/>
        <v>1931819</v>
      </c>
      <c r="M23" s="384">
        <f t="shared" si="27"/>
        <v>965910</v>
      </c>
      <c r="N23" s="384">
        <f>ROUNDUP((+$I23)*'Supuestos Gastos '!$F$19,-3)</f>
        <v>2782000</v>
      </c>
      <c r="O23" s="384">
        <f>ROUNDUP((+$I23)*'Supuestos Gastos '!$F$20,-3)</f>
        <v>1971000</v>
      </c>
      <c r="P23" s="384">
        <f>ROUNDUP((+$I23)*'Supuestos Gastos '!$F$23,-3)</f>
        <v>243000</v>
      </c>
      <c r="Q23" s="384">
        <f t="shared" si="28"/>
        <v>966000</v>
      </c>
      <c r="R23" s="384">
        <f t="shared" si="29"/>
        <v>483000</v>
      </c>
      <c r="S23" s="384">
        <f t="shared" si="30"/>
        <v>724000</v>
      </c>
      <c r="T23" s="384">
        <f t="shared" si="31"/>
        <v>35412378</v>
      </c>
      <c r="U23" s="384"/>
      <c r="V23" s="385">
        <f t="shared" si="32"/>
        <v>35412378</v>
      </c>
      <c r="X23" s="150">
        <f t="shared" si="33"/>
        <v>0</v>
      </c>
      <c r="Y23" s="435">
        <f t="shared" si="34"/>
        <v>1981353</v>
      </c>
      <c r="Z23" t="s">
        <v>263</v>
      </c>
      <c r="AA23" s="96"/>
    </row>
    <row r="24" spans="1:27" x14ac:dyDescent="0.25">
      <c r="A24" s="1112" t="s">
        <v>104</v>
      </c>
      <c r="B24" s="1100">
        <v>43467</v>
      </c>
      <c r="C24" s="91">
        <v>43829</v>
      </c>
      <c r="D24" s="1102">
        <f t="shared" si="6"/>
        <v>359</v>
      </c>
      <c r="E24" s="1096">
        <v>2081800</v>
      </c>
      <c r="F24" s="457">
        <f>+E24*(1+'Supuestos Gastos '!$F$6)</f>
        <v>2154663</v>
      </c>
      <c r="G24" s="386"/>
      <c r="H24" s="462">
        <f t="shared" si="2"/>
        <v>2154663</v>
      </c>
      <c r="I24" s="461">
        <f>ROUND(+((F24/'Supuestos Gastos '!$F$12)*D24),0)</f>
        <v>25784134</v>
      </c>
      <c r="J24" s="384">
        <f>ROUND(+((H24*D24)/'Supuestos Gastos '!$F$10),0)</f>
        <v>2148678</v>
      </c>
      <c r="K24" s="384">
        <f t="shared" si="12"/>
        <v>258000</v>
      </c>
      <c r="L24" s="384">
        <f t="shared" si="4"/>
        <v>2148678</v>
      </c>
      <c r="M24" s="384">
        <f t="shared" si="5"/>
        <v>1074339</v>
      </c>
      <c r="N24" s="384">
        <f>ROUNDUP((+$I24)*'Supuestos Gastos '!$F$19,-3)</f>
        <v>3095000</v>
      </c>
      <c r="O24" s="384">
        <f>ROUNDUP((+$I24)*'Supuestos Gastos '!$F$20,-3)</f>
        <v>2192000</v>
      </c>
      <c r="P24" s="384">
        <f>ROUNDUP((+$I24)*'Supuestos Gastos '!$F$22,-3)</f>
        <v>135000</v>
      </c>
      <c r="Q24" s="384">
        <f t="shared" si="7"/>
        <v>1074000</v>
      </c>
      <c r="R24" s="384">
        <f t="shared" si="8"/>
        <v>537000</v>
      </c>
      <c r="S24" s="384">
        <f t="shared" si="9"/>
        <v>806000</v>
      </c>
      <c r="T24" s="384">
        <f>SUM(I24:S24)</f>
        <v>39252829</v>
      </c>
      <c r="U24" s="384"/>
      <c r="V24" s="385">
        <f t="shared" si="14"/>
        <v>39252829</v>
      </c>
      <c r="X24" s="150">
        <f t="shared" si="10"/>
        <v>2166945.62</v>
      </c>
      <c r="Y24" s="435">
        <f t="shared" si="11"/>
        <v>-12282.620000000112</v>
      </c>
      <c r="Z24" t="s">
        <v>263</v>
      </c>
      <c r="AA24" s="96"/>
    </row>
    <row r="25" spans="1:27" x14ac:dyDescent="0.25">
      <c r="A25" s="103" t="s">
        <v>516</v>
      </c>
      <c r="B25" s="1100">
        <v>43467</v>
      </c>
      <c r="C25" s="91">
        <v>43829</v>
      </c>
      <c r="D25" s="1102">
        <f>DAYS360(B25,C25)+1</f>
        <v>359</v>
      </c>
      <c r="E25" s="1096">
        <v>0</v>
      </c>
      <c r="F25" s="457">
        <v>1367133.5699999998</v>
      </c>
      <c r="G25" s="384">
        <v>92622</v>
      </c>
      <c r="H25" s="462">
        <f>SUM(F25:G25)</f>
        <v>1459755.5699999998</v>
      </c>
      <c r="I25" s="461">
        <f>ROUND(+((F25/'Supuestos Gastos '!$F$12)*D25),0)</f>
        <v>16360032</v>
      </c>
      <c r="J25" s="384">
        <f>ROUND(+((H25*D25)/'Supuestos Gastos '!$F$10),0)</f>
        <v>1455701</v>
      </c>
      <c r="K25" s="384">
        <f>+ROUND(((H25/30)*D25)*0.01,-3)</f>
        <v>175000</v>
      </c>
      <c r="L25" s="384">
        <f>+J25</f>
        <v>1455701</v>
      </c>
      <c r="M25" s="384">
        <f>ROUND(+(F25*D25)/720,0)</f>
        <v>681668</v>
      </c>
      <c r="N25" s="384">
        <f>ROUNDUP((+$I25)*'Supuestos Gastos '!$F$19,-3)</f>
        <v>1964000</v>
      </c>
      <c r="O25" s="384">
        <f>ROUNDUP((+$I25)*'Supuestos Gastos '!$F$20,-3)</f>
        <v>1391000</v>
      </c>
      <c r="P25" s="384">
        <f>ROUNDUP((+$I25)*'Supuestos Gastos '!$F$22,-3)</f>
        <v>86000</v>
      </c>
      <c r="Q25" s="384">
        <f t="shared" si="7"/>
        <v>682000</v>
      </c>
      <c r="R25" s="384">
        <f>ROUND((I25*2%)+(M25*2%),0-3)</f>
        <v>341000</v>
      </c>
      <c r="S25" s="384">
        <f>ROUND((I25*3%)+(M25*3%),-3)</f>
        <v>511000</v>
      </c>
      <c r="T25" s="384">
        <f>ROUND(SUM(I25:S25)+((G25/30)*D25),0)</f>
        <v>26211479</v>
      </c>
      <c r="U25" s="384">
        <f>+T30</f>
        <v>683565.75</v>
      </c>
      <c r="V25" s="385">
        <f>+U25+T25</f>
        <v>26895044.75</v>
      </c>
      <c r="X25" s="150">
        <f>(E25*4.09%)+E25</f>
        <v>0</v>
      </c>
      <c r="Y25" s="150">
        <f>+F25-X25</f>
        <v>1367133.5699999998</v>
      </c>
    </row>
    <row r="26" spans="1:27" x14ac:dyDescent="0.25">
      <c r="A26" s="1112" t="s">
        <v>195</v>
      </c>
      <c r="B26" s="1100">
        <v>43467</v>
      </c>
      <c r="C26" s="91">
        <v>43829</v>
      </c>
      <c r="D26" s="1102">
        <f t="shared" si="6"/>
        <v>359</v>
      </c>
      <c r="E26" s="1096">
        <v>1100752</v>
      </c>
      <c r="F26" s="457">
        <f>+E26*(1+'Supuestos Gastos '!$F$6)</f>
        <v>1139278.3199999998</v>
      </c>
      <c r="G26" s="384">
        <f>+'Supuestos Gastos '!F14</f>
        <v>92621.55</v>
      </c>
      <c r="H26" s="462">
        <f>SUM(F26:G26)</f>
        <v>1231899.8699999999</v>
      </c>
      <c r="I26" s="461">
        <f>ROUND(+((F26/'Supuestos Gastos '!$F$12)*D26),0)</f>
        <v>13633364</v>
      </c>
      <c r="J26" s="384">
        <f>ROUND(+((H26*D26)/'Supuestos Gastos '!$F$10),0)</f>
        <v>1228478</v>
      </c>
      <c r="K26" s="384">
        <f t="shared" si="12"/>
        <v>147000</v>
      </c>
      <c r="L26" s="384">
        <f>+J26</f>
        <v>1228478</v>
      </c>
      <c r="M26" s="384">
        <f t="shared" si="5"/>
        <v>568057</v>
      </c>
      <c r="N26" s="384">
        <f>ROUNDUP((+$I26)*'Supuestos Gastos '!$F$19,-3)</f>
        <v>1637000</v>
      </c>
      <c r="O26" s="384">
        <f>ROUNDUP((+$I26)*'Supuestos Gastos '!$F$20,-3)</f>
        <v>1159000</v>
      </c>
      <c r="P26" s="384">
        <f>ROUNDUP((+$I26)*'Supuestos Gastos '!$F$22,-3)</f>
        <v>72000</v>
      </c>
      <c r="Q26" s="384">
        <f t="shared" si="7"/>
        <v>568000</v>
      </c>
      <c r="R26" s="384">
        <f t="shared" si="8"/>
        <v>284000</v>
      </c>
      <c r="S26" s="384">
        <f t="shared" si="9"/>
        <v>426000</v>
      </c>
      <c r="T26" s="384">
        <f>ROUND(SUM(I26:S26)+((G26/30)*D26),0)</f>
        <v>22059748</v>
      </c>
      <c r="U26" s="384">
        <f>+T30</f>
        <v>683565.75</v>
      </c>
      <c r="V26" s="385">
        <f t="shared" si="14"/>
        <v>22743313.75</v>
      </c>
      <c r="X26" s="150">
        <f t="shared" si="10"/>
        <v>1145772.7568000001</v>
      </c>
      <c r="Y26" s="150">
        <f t="shared" ref="Y26:Y27" si="35">+F26-X26</f>
        <v>-6494.4368000002578</v>
      </c>
      <c r="AA26" s="96"/>
    </row>
    <row r="27" spans="1:27" ht="15.75" thickBot="1" x14ac:dyDescent="0.3">
      <c r="A27" s="1113" t="s">
        <v>190</v>
      </c>
      <c r="B27" s="1103">
        <v>43467</v>
      </c>
      <c r="C27" s="100">
        <v>43829</v>
      </c>
      <c r="D27" s="1104">
        <f t="shared" si="6"/>
        <v>359</v>
      </c>
      <c r="E27" s="1097">
        <v>781242</v>
      </c>
      <c r="F27" s="463">
        <f>+'Supuestos Gastos '!F13</f>
        <v>820304.1</v>
      </c>
      <c r="G27" s="361">
        <v>0</v>
      </c>
      <c r="H27" s="447">
        <f>SUM(F27:G27)</f>
        <v>820304.1</v>
      </c>
      <c r="I27" s="442">
        <f>ROUND(+((F27/'Supuestos Gastos '!$F$12)*D27),0)</f>
        <v>9816306</v>
      </c>
      <c r="J27" s="361">
        <v>0</v>
      </c>
      <c r="K27" s="361">
        <v>0</v>
      </c>
      <c r="L27" s="361">
        <f>+J27</f>
        <v>0</v>
      </c>
      <c r="M27" s="361">
        <v>0</v>
      </c>
      <c r="N27" s="361">
        <v>0</v>
      </c>
      <c r="O27" s="361">
        <f>ROUNDUP((+$I27)*12.5%,-3)</f>
        <v>1228000</v>
      </c>
      <c r="P27" s="361">
        <f>ROUNDUP((+$I27)*'Supuestos Gastos '!$F$22,-3)</f>
        <v>52000</v>
      </c>
      <c r="Q27" s="361">
        <v>0</v>
      </c>
      <c r="R27" s="361">
        <v>0</v>
      </c>
      <c r="S27" s="361">
        <v>0</v>
      </c>
      <c r="T27" s="361">
        <f>SUM(I27:S27)+((G27/30)*D27)</f>
        <v>11096306</v>
      </c>
      <c r="U27" s="361">
        <f>+T31</f>
        <v>0</v>
      </c>
      <c r="V27" s="363">
        <f>+T27+U27</f>
        <v>11096306</v>
      </c>
      <c r="X27" s="150">
        <f>(E27*5.9%)+E27</f>
        <v>827335.27800000005</v>
      </c>
      <c r="Y27" s="150">
        <f t="shared" si="35"/>
        <v>-7031.1780000000726</v>
      </c>
      <c r="AA27" s="96"/>
    </row>
    <row r="28" spans="1:27" s="119" customFormat="1" ht="15.75" thickBot="1" x14ac:dyDescent="0.3">
      <c r="A28" s="104" t="s">
        <v>28</v>
      </c>
      <c r="B28" s="102"/>
      <c r="C28" s="92"/>
      <c r="D28" s="439"/>
      <c r="E28" s="467">
        <f t="shared" ref="E28:V28" si="36">SUM(E15:E27)</f>
        <v>19260203</v>
      </c>
      <c r="F28" s="464">
        <f>SUM(F15:F27)</f>
        <v>24859784.175000001</v>
      </c>
      <c r="G28" s="365">
        <f t="shared" ref="G28:M28" si="37">SUM(G15:G27)</f>
        <v>185243.55</v>
      </c>
      <c r="H28" s="387">
        <f>SUM(H15:H27)</f>
        <v>25045027.725000001</v>
      </c>
      <c r="I28" s="468">
        <f>SUM(I15:I27)</f>
        <v>293856270</v>
      </c>
      <c r="J28" s="365">
        <f t="shared" si="37"/>
        <v>23854725</v>
      </c>
      <c r="K28" s="365">
        <f t="shared" si="37"/>
        <v>2864000</v>
      </c>
      <c r="L28" s="365">
        <f t="shared" si="37"/>
        <v>23854725</v>
      </c>
      <c r="M28" s="365">
        <f t="shared" si="37"/>
        <v>11835002</v>
      </c>
      <c r="N28" s="365">
        <f t="shared" si="36"/>
        <v>34090000</v>
      </c>
      <c r="O28" s="365">
        <f t="shared" si="36"/>
        <v>25377000</v>
      </c>
      <c r="P28" s="365">
        <f t="shared" si="36"/>
        <v>2736000</v>
      </c>
      <c r="Q28" s="365">
        <f t="shared" si="36"/>
        <v>11836000</v>
      </c>
      <c r="R28" s="365">
        <f t="shared" si="36"/>
        <v>5917000</v>
      </c>
      <c r="S28" s="365">
        <f t="shared" si="36"/>
        <v>8873000</v>
      </c>
      <c r="T28" s="365">
        <f t="shared" si="36"/>
        <v>447310470</v>
      </c>
      <c r="U28" s="365">
        <f t="shared" si="36"/>
        <v>1367131.5</v>
      </c>
      <c r="V28" s="387">
        <f t="shared" si="36"/>
        <v>448677601.5</v>
      </c>
      <c r="W28" s="151"/>
      <c r="X28" s="150"/>
      <c r="Y28" s="150"/>
      <c r="Z28"/>
      <c r="AA28" s="96"/>
    </row>
    <row r="29" spans="1:27" ht="15.75" thickBot="1" x14ac:dyDescent="0.3">
      <c r="E29" s="388"/>
      <c r="F29" s="388"/>
      <c r="G29" s="156"/>
      <c r="H29" s="156"/>
      <c r="I29" s="156"/>
      <c r="J29" s="156"/>
      <c r="K29" s="156"/>
      <c r="L29" s="156"/>
      <c r="M29" s="156"/>
      <c r="N29" s="96"/>
      <c r="O29" s="96"/>
      <c r="P29" s="96"/>
      <c r="Q29" s="96"/>
      <c r="R29" s="96"/>
      <c r="S29" s="96"/>
      <c r="T29" s="96"/>
      <c r="U29" s="96"/>
      <c r="V29" s="96"/>
      <c r="AA29" s="96"/>
    </row>
    <row r="30" spans="1:27" s="119" customFormat="1" ht="15.75" thickBot="1" x14ac:dyDescent="0.3">
      <c r="A30" s="104" t="s">
        <v>103</v>
      </c>
      <c r="B30" s="58"/>
      <c r="C30" s="58"/>
      <c r="D30" s="163"/>
      <c r="E30" s="371"/>
      <c r="F30" s="372"/>
      <c r="G30" s="373"/>
      <c r="H30" s="373"/>
      <c r="I30" s="373"/>
      <c r="J30" s="373"/>
      <c r="K30" s="373"/>
      <c r="L30" s="373"/>
      <c r="M30" s="373"/>
      <c r="N30" s="374"/>
      <c r="O30" s="374"/>
      <c r="P30" s="374"/>
      <c r="Q30" s="374"/>
      <c r="R30" s="374"/>
      <c r="S30" s="374"/>
      <c r="T30" s="375">
        <f>(660450*'Supuestos Gastos '!$F$6)+660450</f>
        <v>683565.75</v>
      </c>
      <c r="U30" s="376"/>
      <c r="V30" s="376"/>
      <c r="W30" s="151"/>
      <c r="X30" s="150"/>
      <c r="Y30" s="150"/>
      <c r="Z30"/>
      <c r="AA30" s="96"/>
    </row>
    <row r="31" spans="1:27" ht="15.75" thickBot="1" x14ac:dyDescent="0.3">
      <c r="A31" s="9"/>
      <c r="B31" s="9"/>
      <c r="C31" s="9"/>
      <c r="D31" s="164"/>
      <c r="E31" s="389"/>
      <c r="F31" s="388"/>
      <c r="G31" s="156"/>
      <c r="H31" s="156"/>
      <c r="I31" s="156"/>
      <c r="J31" s="156"/>
      <c r="K31" s="156"/>
      <c r="L31" s="156"/>
      <c r="M31" s="156"/>
      <c r="N31" s="96"/>
      <c r="O31" s="96"/>
      <c r="P31" s="96"/>
      <c r="Q31" s="96"/>
      <c r="R31" s="96"/>
      <c r="S31" s="96"/>
      <c r="T31" s="96"/>
      <c r="U31" s="96"/>
      <c r="V31" s="96"/>
      <c r="AA31" s="96"/>
    </row>
    <row r="32" spans="1:27" ht="15.75" thickBot="1" x14ac:dyDescent="0.3">
      <c r="A32" s="94"/>
      <c r="B32" s="94"/>
      <c r="C32" s="94"/>
      <c r="D32" s="166"/>
      <c r="E32" s="476">
        <v>2018</v>
      </c>
      <c r="F32" s="1557" t="s">
        <v>275</v>
      </c>
      <c r="G32" s="1558"/>
      <c r="H32" s="1559"/>
      <c r="I32" s="380"/>
      <c r="J32" s="380"/>
      <c r="K32" s="380"/>
      <c r="L32" s="380"/>
      <c r="M32" s="380"/>
      <c r="N32" s="380"/>
      <c r="O32" s="380"/>
      <c r="P32" s="380"/>
      <c r="Q32" s="380"/>
      <c r="R32" s="380"/>
      <c r="S32" s="380"/>
      <c r="T32" s="381"/>
      <c r="U32" s="96"/>
      <c r="V32" s="96"/>
      <c r="AA32" s="96"/>
    </row>
    <row r="33" spans="1:29" ht="26.25" thickBot="1" x14ac:dyDescent="0.3">
      <c r="A33" s="2" t="s">
        <v>442</v>
      </c>
      <c r="B33" s="113" t="s">
        <v>110</v>
      </c>
      <c r="C33" s="114" t="s">
        <v>111</v>
      </c>
      <c r="D33" s="436" t="s">
        <v>112</v>
      </c>
      <c r="E33" s="458" t="s">
        <v>1</v>
      </c>
      <c r="F33" s="455" t="s">
        <v>1</v>
      </c>
      <c r="G33" s="352" t="s">
        <v>39</v>
      </c>
      <c r="H33" s="444" t="s">
        <v>2</v>
      </c>
      <c r="I33" s="440" t="s">
        <v>3</v>
      </c>
      <c r="J33" s="354" t="s">
        <v>4</v>
      </c>
      <c r="K33" s="354" t="s">
        <v>5</v>
      </c>
      <c r="L33" s="354" t="s">
        <v>6</v>
      </c>
      <c r="M33" s="354" t="s">
        <v>7</v>
      </c>
      <c r="N33" s="354" t="s">
        <v>8</v>
      </c>
      <c r="O33" s="354" t="s">
        <v>9</v>
      </c>
      <c r="P33" s="354" t="s">
        <v>10</v>
      </c>
      <c r="Q33" s="354" t="s">
        <v>11</v>
      </c>
      <c r="R33" s="354" t="s">
        <v>12</v>
      </c>
      <c r="S33" s="354" t="s">
        <v>13</v>
      </c>
      <c r="T33" s="354" t="s">
        <v>14</v>
      </c>
      <c r="U33" s="354" t="s">
        <v>95</v>
      </c>
      <c r="V33" s="355" t="s">
        <v>172</v>
      </c>
      <c r="AA33" s="96"/>
    </row>
    <row r="34" spans="1:29" x14ac:dyDescent="0.25">
      <c r="A34" s="154" t="s">
        <v>105</v>
      </c>
      <c r="B34" s="1098">
        <v>43467</v>
      </c>
      <c r="C34" s="118">
        <v>43829</v>
      </c>
      <c r="D34" s="1107">
        <f>DAYS360(B34,C34)+1</f>
        <v>359</v>
      </c>
      <c r="E34" s="465">
        <v>2081800</v>
      </c>
      <c r="F34" s="456">
        <f>+E34*(1+'Supuestos Gastos '!$F$6)</f>
        <v>2154663</v>
      </c>
      <c r="G34" s="390">
        <v>0</v>
      </c>
      <c r="H34" s="469">
        <f>SUM(F34:G34)</f>
        <v>2154663</v>
      </c>
      <c r="I34" s="441">
        <f>ROUND(+((F34/'Supuestos Gastos '!$F$12)*D34),0)</f>
        <v>25784134</v>
      </c>
      <c r="J34" s="357">
        <f>ROUND(+((H34*D34)/'Supuestos Gastos '!$F$10),0)</f>
        <v>2148678</v>
      </c>
      <c r="K34" s="390">
        <f>+ROUND(((H34/30)*D34)*0.01,-3)</f>
        <v>258000</v>
      </c>
      <c r="L34" s="390">
        <f t="shared" ref="L34" si="38">+J34</f>
        <v>2148678</v>
      </c>
      <c r="M34" s="390">
        <f>ROUND(+(F34*D34)/720,0)</f>
        <v>1074339</v>
      </c>
      <c r="N34" s="357">
        <f>ROUNDUP((+$I34)*'Supuestos Gastos '!$F$19,-3)</f>
        <v>3095000</v>
      </c>
      <c r="O34" s="390">
        <f>ROUNDUP((+$I34)*'Supuestos Gastos '!$F$20,-3)</f>
        <v>2192000</v>
      </c>
      <c r="P34" s="357">
        <f>ROUNDUP((+$I34)*'Supuestos Gastos '!$F$23,-3)</f>
        <v>270000</v>
      </c>
      <c r="Q34" s="357">
        <f t="shared" ref="Q34" si="39">ROUND((I34*4%)+(M34*4%),-3)</f>
        <v>1074000</v>
      </c>
      <c r="R34" s="357">
        <f t="shared" ref="R34" si="40">ROUND((I34*2%)+(M34*2%),0-3)</f>
        <v>537000</v>
      </c>
      <c r="S34" s="357">
        <f t="shared" ref="S34" si="41">ROUND((I34*3%)+(M34*3%),-3)</f>
        <v>806000</v>
      </c>
      <c r="T34" s="390">
        <f>SUM(I34:S34)</f>
        <v>39387829</v>
      </c>
      <c r="U34" s="391">
        <v>0</v>
      </c>
      <c r="V34" s="392">
        <f>+U34+T34</f>
        <v>39387829</v>
      </c>
      <c r="X34" s="150">
        <f t="shared" si="10"/>
        <v>2166945.62</v>
      </c>
      <c r="Y34" s="435">
        <f t="shared" si="11"/>
        <v>-12282.620000000112</v>
      </c>
      <c r="Z34" t="s">
        <v>263</v>
      </c>
      <c r="AA34" s="96"/>
    </row>
    <row r="35" spans="1:29" ht="15.75" thickBot="1" x14ac:dyDescent="0.3">
      <c r="A35" s="1106" t="s">
        <v>190</v>
      </c>
      <c r="B35" s="1103">
        <v>43466</v>
      </c>
      <c r="C35" s="100">
        <v>43829</v>
      </c>
      <c r="D35" s="1104">
        <f t="shared" ref="D35" si="42">DAYS360(B35,C35)+1</f>
        <v>360</v>
      </c>
      <c r="E35" s="466">
        <v>781242</v>
      </c>
      <c r="F35" s="463">
        <f>+'Supuestos Gastos '!F13</f>
        <v>820304.1</v>
      </c>
      <c r="G35" s="361">
        <v>0</v>
      </c>
      <c r="H35" s="447">
        <f>SUM(F35:G35)</f>
        <v>820304.1</v>
      </c>
      <c r="I35" s="442">
        <f>ROUND(+((F35/'Supuestos Gastos '!$F$12)*D35),0)</f>
        <v>9843649</v>
      </c>
      <c r="J35" s="361">
        <v>0</v>
      </c>
      <c r="K35" s="361">
        <v>0</v>
      </c>
      <c r="L35" s="361">
        <f>+J35</f>
        <v>0</v>
      </c>
      <c r="M35" s="361">
        <v>0</v>
      </c>
      <c r="N35" s="361">
        <v>0</v>
      </c>
      <c r="O35" s="361">
        <f>ROUNDUP((+$I35)*12.5%,-3)</f>
        <v>1231000</v>
      </c>
      <c r="P35" s="361">
        <f>ROUNDUP((+$I35)*'Supuestos Gastos '!$F$22,-3)</f>
        <v>52000</v>
      </c>
      <c r="Q35" s="361">
        <v>0</v>
      </c>
      <c r="R35" s="361">
        <v>0</v>
      </c>
      <c r="S35" s="361">
        <v>0</v>
      </c>
      <c r="T35" s="361">
        <f>SUM(I35:S35)+((G35/30)*D35)</f>
        <v>11126649</v>
      </c>
      <c r="U35" s="361">
        <v>0</v>
      </c>
      <c r="V35" s="363">
        <f>+T35+U35</f>
        <v>11126649</v>
      </c>
      <c r="X35" s="150">
        <f>(E35*5.9%)+E35</f>
        <v>827335.27800000005</v>
      </c>
      <c r="Y35" s="150">
        <f t="shared" ref="Y35" si="43">+F35-X35</f>
        <v>-7031.1780000000726</v>
      </c>
      <c r="AA35" s="96"/>
    </row>
    <row r="36" spans="1:29" s="119" customFormat="1" ht="15.75" thickBot="1" x14ac:dyDescent="0.3">
      <c r="A36" s="104" t="s">
        <v>443</v>
      </c>
      <c r="B36" s="102"/>
      <c r="C36" s="92"/>
      <c r="D36" s="439"/>
      <c r="E36" s="467">
        <f>SUM(E34:E35)</f>
        <v>2863042</v>
      </c>
      <c r="F36" s="464">
        <f>SUM(F34:F35)</f>
        <v>2974967.1</v>
      </c>
      <c r="G36" s="365">
        <f t="shared" ref="G36:V36" si="44">SUM(G34:G35)</f>
        <v>0</v>
      </c>
      <c r="H36" s="387">
        <f t="shared" si="44"/>
        <v>2974967.1</v>
      </c>
      <c r="I36" s="468">
        <f t="shared" si="44"/>
        <v>35627783</v>
      </c>
      <c r="J36" s="365">
        <f>SUM(J34:J35)</f>
        <v>2148678</v>
      </c>
      <c r="K36" s="365">
        <f t="shared" si="44"/>
        <v>258000</v>
      </c>
      <c r="L36" s="365">
        <f t="shared" si="44"/>
        <v>2148678</v>
      </c>
      <c r="M36" s="365">
        <f t="shared" si="44"/>
        <v>1074339</v>
      </c>
      <c r="N36" s="365">
        <f>SUM(N34:N35)</f>
        <v>3095000</v>
      </c>
      <c r="O36" s="365">
        <f t="shared" si="44"/>
        <v>3423000</v>
      </c>
      <c r="P36" s="365">
        <f t="shared" si="44"/>
        <v>322000</v>
      </c>
      <c r="Q36" s="365">
        <f t="shared" si="44"/>
        <v>1074000</v>
      </c>
      <c r="R36" s="365">
        <f t="shared" si="44"/>
        <v>537000</v>
      </c>
      <c r="S36" s="365">
        <f t="shared" si="44"/>
        <v>806000</v>
      </c>
      <c r="T36" s="365">
        <f t="shared" si="44"/>
        <v>50514478</v>
      </c>
      <c r="U36" s="365">
        <f t="shared" si="44"/>
        <v>0</v>
      </c>
      <c r="V36" s="387">
        <f t="shared" si="44"/>
        <v>50514478</v>
      </c>
      <c r="W36" s="151"/>
      <c r="X36" s="150"/>
      <c r="Y36" s="150"/>
      <c r="Z36"/>
      <c r="AA36" s="96"/>
    </row>
    <row r="37" spans="1:29" ht="15.75" thickBot="1" x14ac:dyDescent="0.3">
      <c r="A37" s="9"/>
      <c r="B37" s="9"/>
      <c r="C37" s="9"/>
      <c r="D37" s="164"/>
      <c r="E37" s="389"/>
      <c r="F37" s="389"/>
      <c r="G37" s="393"/>
      <c r="H37" s="393"/>
      <c r="I37" s="393"/>
      <c r="J37" s="393"/>
      <c r="K37" s="393"/>
      <c r="L37" s="393"/>
      <c r="M37" s="393"/>
      <c r="N37" s="393"/>
      <c r="O37" s="393"/>
      <c r="P37" s="393"/>
      <c r="Q37" s="393"/>
      <c r="R37" s="393"/>
      <c r="S37" s="393"/>
      <c r="T37" s="394"/>
      <c r="U37" s="96"/>
      <c r="V37" s="96"/>
      <c r="AA37" s="96"/>
    </row>
    <row r="38" spans="1:29" ht="15.75" thickBot="1" x14ac:dyDescent="0.3">
      <c r="A38" s="94"/>
      <c r="B38" s="94"/>
      <c r="C38" s="94"/>
      <c r="D38" s="166"/>
      <c r="E38" s="476">
        <v>2018</v>
      </c>
      <c r="F38" s="1557" t="s">
        <v>275</v>
      </c>
      <c r="G38" s="1558"/>
      <c r="H38" s="1559"/>
      <c r="I38" s="380"/>
      <c r="J38" s="380"/>
      <c r="K38" s="380">
        <f>+H41*D41/360*12%</f>
        <v>147417.35110999999</v>
      </c>
      <c r="L38" s="380"/>
      <c r="M38" s="380"/>
      <c r="N38" s="380">
        <f>+F41*12.5/100*12</f>
        <v>1708917.4799999997</v>
      </c>
      <c r="O38" s="380"/>
      <c r="P38" s="380"/>
      <c r="Q38" s="380"/>
      <c r="R38" s="380"/>
      <c r="S38" s="380"/>
      <c r="T38" s="381"/>
      <c r="U38" s="96"/>
      <c r="V38" s="96"/>
      <c r="AA38" s="96"/>
    </row>
    <row r="39" spans="1:29" ht="36" customHeight="1" thickBot="1" x14ac:dyDescent="0.3">
      <c r="A39" s="2" t="s">
        <v>441</v>
      </c>
      <c r="B39" s="113" t="s">
        <v>110</v>
      </c>
      <c r="C39" s="114" t="s">
        <v>111</v>
      </c>
      <c r="D39" s="436" t="s">
        <v>112</v>
      </c>
      <c r="E39" s="458" t="s">
        <v>1</v>
      </c>
      <c r="F39" s="455" t="s">
        <v>1</v>
      </c>
      <c r="G39" s="352" t="s">
        <v>39</v>
      </c>
      <c r="H39" s="444" t="s">
        <v>2</v>
      </c>
      <c r="I39" s="440" t="s">
        <v>3</v>
      </c>
      <c r="J39" s="354" t="s">
        <v>4</v>
      </c>
      <c r="K39" s="354" t="s">
        <v>5</v>
      </c>
      <c r="L39" s="354" t="s">
        <v>6</v>
      </c>
      <c r="M39" s="354" t="s">
        <v>7</v>
      </c>
      <c r="N39" s="354" t="s">
        <v>8</v>
      </c>
      <c r="O39" s="354" t="s">
        <v>9</v>
      </c>
      <c r="P39" s="354" t="s">
        <v>10</v>
      </c>
      <c r="Q39" s="354" t="s">
        <v>11</v>
      </c>
      <c r="R39" s="354" t="s">
        <v>12</v>
      </c>
      <c r="S39" s="354" t="s">
        <v>13</v>
      </c>
      <c r="T39" s="354" t="s">
        <v>14</v>
      </c>
      <c r="U39" s="354" t="s">
        <v>95</v>
      </c>
      <c r="V39" s="355" t="s">
        <v>14</v>
      </c>
      <c r="AA39" s="96"/>
    </row>
    <row r="40" spans="1:29" x14ac:dyDescent="0.25">
      <c r="A40" s="105" t="s">
        <v>155</v>
      </c>
      <c r="B40" s="117">
        <v>43467</v>
      </c>
      <c r="C40" s="118">
        <v>43829</v>
      </c>
      <c r="D40" s="437">
        <f t="shared" ref="D40:D42" si="45">DAYS360(B40,C40)+1</f>
        <v>359</v>
      </c>
      <c r="E40" s="459">
        <v>4059510</v>
      </c>
      <c r="F40" s="456">
        <f>+E40*(1+'Supuestos Gastos '!$F$6)</f>
        <v>4201592.8499999996</v>
      </c>
      <c r="G40" s="357"/>
      <c r="H40" s="446">
        <f>SUM(F40:G40)</f>
        <v>4201592.8499999996</v>
      </c>
      <c r="I40" s="441">
        <f>ROUND(+((F40/'Supuestos Gastos '!$F$12)*D40),0)</f>
        <v>50279061</v>
      </c>
      <c r="J40" s="357">
        <f>ROUND(+((H40*D40)/'Supuestos Gastos '!$F$10),0)</f>
        <v>4189922</v>
      </c>
      <c r="K40" s="357">
        <f t="shared" ref="K40:K41" si="46">+ROUND(((H40/30)*D40)*0.01,-3)</f>
        <v>503000</v>
      </c>
      <c r="L40" s="357">
        <f t="shared" ref="L40" si="47">+J40</f>
        <v>4189922</v>
      </c>
      <c r="M40" s="357">
        <f t="shared" ref="M40:M42" si="48">ROUND(+(F40*D40)/720,0)</f>
        <v>2094961</v>
      </c>
      <c r="N40" s="357">
        <f>ROUNDUP((+$I40)*'Supuestos Gastos '!$F$19,-3)</f>
        <v>6034000</v>
      </c>
      <c r="O40" s="357">
        <f>ROUNDUP((+$I40)*'Supuestos Gastos '!$F$20,-3)</f>
        <v>4274000</v>
      </c>
      <c r="P40" s="357">
        <f>ROUNDUP((+$I40)*'Supuestos Gastos '!$F$23,-3)</f>
        <v>525000</v>
      </c>
      <c r="Q40" s="357">
        <f>ROUND((I40*4%)+(M40*4%),-3)</f>
        <v>2095000</v>
      </c>
      <c r="R40" s="357">
        <f>ROUND((I40*2%)+(M40*2%),0-3)</f>
        <v>1047000</v>
      </c>
      <c r="S40" s="357">
        <f>ROUND((I40*3%)+(M40*3%),-3)</f>
        <v>1571000</v>
      </c>
      <c r="T40" s="357">
        <f>SUM(I40:S40)</f>
        <v>76802866</v>
      </c>
      <c r="U40" s="395"/>
      <c r="V40" s="359">
        <f>+T40</f>
        <v>76802866</v>
      </c>
      <c r="X40" s="150">
        <f t="shared" si="10"/>
        <v>4225543.9589999998</v>
      </c>
      <c r="Y40" s="150">
        <f t="shared" si="11"/>
        <v>-23951.109000000171</v>
      </c>
      <c r="AA40" s="96"/>
    </row>
    <row r="41" spans="1:29" x14ac:dyDescent="0.25">
      <c r="A41" s="103" t="s">
        <v>193</v>
      </c>
      <c r="B41" s="101">
        <v>43467</v>
      </c>
      <c r="C41" s="91">
        <v>43829</v>
      </c>
      <c r="D41" s="454">
        <f t="shared" si="45"/>
        <v>359</v>
      </c>
      <c r="E41" s="460">
        <v>1100752</v>
      </c>
      <c r="F41" s="457">
        <f>+E41*(1+'Supuestos Gastos '!$F$6)</f>
        <v>1139278.3199999998</v>
      </c>
      <c r="G41" s="384">
        <f>+'Supuestos Gastos '!F14</f>
        <v>92621.55</v>
      </c>
      <c r="H41" s="462">
        <f>+F41+G41</f>
        <v>1231899.8699999999</v>
      </c>
      <c r="I41" s="461">
        <f>ROUND(+((F41/'Supuestos Gastos '!$F$12)*D41),0)</f>
        <v>13633364</v>
      </c>
      <c r="J41" s="384">
        <f>ROUND(+((H41*D41)/'Supuestos Gastos '!$F$10),0)</f>
        <v>1228478</v>
      </c>
      <c r="K41" s="384">
        <f t="shared" si="46"/>
        <v>147000</v>
      </c>
      <c r="L41" s="384">
        <f>+J41</f>
        <v>1228478</v>
      </c>
      <c r="M41" s="384">
        <f t="shared" si="48"/>
        <v>568057</v>
      </c>
      <c r="N41" s="384">
        <f>ROUNDUP((+$I41)*'Supuestos Gastos '!$F$19,-3)</f>
        <v>1637000</v>
      </c>
      <c r="O41" s="384">
        <f>ROUNDUP((+$I41)*'Supuestos Gastos '!$F$20,-3)</f>
        <v>1159000</v>
      </c>
      <c r="P41" s="384">
        <f>ROUNDUP((+$I41)*'Supuestos Gastos '!$F$22,-3)</f>
        <v>72000</v>
      </c>
      <c r="Q41" s="384">
        <f>ROUND((I41*4%)+(M41*4%),-3)</f>
        <v>568000</v>
      </c>
      <c r="R41" s="384">
        <f>ROUND((I41*2%)+(M41*2%),0-3)</f>
        <v>284000</v>
      </c>
      <c r="S41" s="384">
        <f>ROUND((I41*3%)+(M41*3%),-3)</f>
        <v>426000</v>
      </c>
      <c r="T41" s="384">
        <f>ROUND(SUM(I41:S41)+((G41/30)*D41),0)</f>
        <v>22059748</v>
      </c>
      <c r="U41" s="384">
        <f>+T45</f>
        <v>683565.75</v>
      </c>
      <c r="V41" s="385">
        <f>+T41+U41</f>
        <v>22743313.75</v>
      </c>
      <c r="X41" s="150">
        <f t="shared" si="10"/>
        <v>1145772.7568000001</v>
      </c>
      <c r="Y41" s="150">
        <f t="shared" ref="Y41" si="49">+F41-X41</f>
        <v>-6494.4368000002578</v>
      </c>
      <c r="AA41" s="96"/>
    </row>
    <row r="42" spans="1:29" ht="15.75" thickBot="1" x14ac:dyDescent="0.3">
      <c r="A42" s="103" t="s">
        <v>173</v>
      </c>
      <c r="B42" s="101">
        <v>43466</v>
      </c>
      <c r="C42" s="91">
        <v>43829</v>
      </c>
      <c r="D42" s="454">
        <f t="shared" si="45"/>
        <v>360</v>
      </c>
      <c r="E42" s="460">
        <v>2081799.9999999998</v>
      </c>
      <c r="F42" s="457">
        <f>+E42*(1+'Supuestos Gastos '!$F$6)</f>
        <v>2154662.9999999995</v>
      </c>
      <c r="G42" s="384"/>
      <c r="H42" s="462">
        <f t="shared" ref="H42" si="50">SUM(F42:G42)</f>
        <v>2154662.9999999995</v>
      </c>
      <c r="I42" s="461">
        <f>ROUND(+((F42/'Supuestos Gastos '!$F$12)*D42),0)</f>
        <v>25855956</v>
      </c>
      <c r="J42" s="384">
        <f>ROUND(+((H42*D42)/'Supuestos Gastos '!$F$10),0)</f>
        <v>2154663</v>
      </c>
      <c r="K42" s="384">
        <f>+ROUND(((H42/30)*D42)*0.01,-3)</f>
        <v>259000</v>
      </c>
      <c r="L42" s="384">
        <f t="shared" ref="L42" si="51">+J42</f>
        <v>2154663</v>
      </c>
      <c r="M42" s="384">
        <f t="shared" si="48"/>
        <v>1077332</v>
      </c>
      <c r="N42" s="384">
        <f>ROUNDUP((+$I42)*'Supuestos Gastos '!$F$19,-3)</f>
        <v>3103000</v>
      </c>
      <c r="O42" s="384">
        <f>ROUNDUP((+$I42)*'Supuestos Gastos '!$F$20,-3)</f>
        <v>2198000</v>
      </c>
      <c r="P42" s="384">
        <f>ROUNDUP((+$I42)*'Supuestos Gastos '!$F$23,-3)</f>
        <v>270000</v>
      </c>
      <c r="Q42" s="384">
        <f t="shared" ref="Q42" si="52">ROUND((I42*4%)+(M42*4%),-3)</f>
        <v>1077000</v>
      </c>
      <c r="R42" s="384">
        <f t="shared" ref="R42" si="53">ROUND((I42*2%)+(M42*2%),0-3)</f>
        <v>539000</v>
      </c>
      <c r="S42" s="384">
        <f t="shared" ref="S42" si="54">ROUND((I42*3%)+(M42*3%),-3)</f>
        <v>808000</v>
      </c>
      <c r="T42" s="384">
        <f t="shared" ref="T42" si="55">SUM(I42:S42)</f>
        <v>39496614</v>
      </c>
      <c r="U42" s="384"/>
      <c r="V42" s="385">
        <f t="shared" ref="V42" si="56">+U42+T42</f>
        <v>39496614</v>
      </c>
      <c r="W42" s="149">
        <f>SUM(V42:V42)</f>
        <v>39496614</v>
      </c>
      <c r="X42" s="150">
        <f t="shared" si="10"/>
        <v>2166945.6199999996</v>
      </c>
      <c r="Y42" s="150">
        <f t="shared" si="11"/>
        <v>-12282.620000000112</v>
      </c>
      <c r="AA42" s="96"/>
      <c r="AB42" s="147">
        <f>SUM(V42:V42)</f>
        <v>39496614</v>
      </c>
    </row>
    <row r="43" spans="1:29" s="119" customFormat="1" ht="15.75" thickBot="1" x14ac:dyDescent="0.3">
      <c r="A43" s="104" t="s">
        <v>186</v>
      </c>
      <c r="B43" s="102"/>
      <c r="C43" s="92"/>
      <c r="D43" s="439"/>
      <c r="E43" s="448">
        <f>SUM(E40:E42)</f>
        <v>7242062</v>
      </c>
      <c r="F43" s="396">
        <f>SUM(F40:F42)</f>
        <v>7495534.1699999999</v>
      </c>
      <c r="G43" s="365">
        <f>SUM(G40:G41)</f>
        <v>92621.55</v>
      </c>
      <c r="H43" s="397">
        <f t="shared" ref="H43:T43" si="57">SUM(H40:H42)</f>
        <v>7588155.7199999988</v>
      </c>
      <c r="I43" s="397">
        <f t="shared" si="57"/>
        <v>89768381</v>
      </c>
      <c r="J43" s="397">
        <f t="shared" si="57"/>
        <v>7573063</v>
      </c>
      <c r="K43" s="397">
        <f t="shared" si="57"/>
        <v>909000</v>
      </c>
      <c r="L43" s="397">
        <f t="shared" si="57"/>
        <v>7573063</v>
      </c>
      <c r="M43" s="397">
        <f t="shared" si="57"/>
        <v>3740350</v>
      </c>
      <c r="N43" s="375">
        <f t="shared" si="57"/>
        <v>10774000</v>
      </c>
      <c r="O43" s="375">
        <f t="shared" si="57"/>
        <v>7631000</v>
      </c>
      <c r="P43" s="375">
        <f t="shared" si="57"/>
        <v>867000</v>
      </c>
      <c r="Q43" s="375">
        <f t="shared" si="57"/>
        <v>3740000</v>
      </c>
      <c r="R43" s="375">
        <f t="shared" si="57"/>
        <v>1870000</v>
      </c>
      <c r="S43" s="375">
        <f t="shared" si="57"/>
        <v>2805000</v>
      </c>
      <c r="T43" s="375">
        <f t="shared" si="57"/>
        <v>138359228</v>
      </c>
      <c r="U43" s="398">
        <f>SUM(U40:U41)</f>
        <v>683565.75</v>
      </c>
      <c r="V43" s="367">
        <f>SUM(V40:V42)</f>
        <v>139042793.75</v>
      </c>
      <c r="W43" s="151"/>
      <c r="X43" s="150"/>
      <c r="Y43" s="150"/>
    </row>
    <row r="44" spans="1:29" ht="15.75" thickBot="1" x14ac:dyDescent="0.3">
      <c r="E44" s="388"/>
      <c r="F44" s="388"/>
      <c r="G44" s="393"/>
      <c r="H44" s="156"/>
      <c r="I44" s="156"/>
      <c r="J44" s="156"/>
      <c r="K44" s="156"/>
      <c r="L44" s="156"/>
      <c r="M44" s="156"/>
      <c r="N44" s="96"/>
      <c r="O44" s="96"/>
      <c r="P44" s="96"/>
      <c r="Q44" s="96"/>
      <c r="R44" s="96"/>
      <c r="S44" s="96"/>
      <c r="T44" s="96"/>
      <c r="U44" s="96"/>
      <c r="V44" s="96"/>
      <c r="AB44" s="1172"/>
      <c r="AC44" s="1172"/>
    </row>
    <row r="45" spans="1:29" s="119" customFormat="1" ht="15.75" thickBot="1" x14ac:dyDescent="0.3">
      <c r="A45" s="104" t="s">
        <v>103</v>
      </c>
      <c r="B45" s="58"/>
      <c r="C45" s="58"/>
      <c r="D45" s="163"/>
      <c r="E45" s="371"/>
      <c r="F45" s="372"/>
      <c r="G45" s="373"/>
      <c r="H45" s="373"/>
      <c r="I45" s="373"/>
      <c r="J45" s="373"/>
      <c r="K45" s="373"/>
      <c r="L45" s="373"/>
      <c r="M45" s="373"/>
      <c r="N45" s="374"/>
      <c r="O45" s="374"/>
      <c r="P45" s="374"/>
      <c r="Q45" s="374"/>
      <c r="R45" s="374"/>
      <c r="S45" s="374"/>
      <c r="T45" s="375">
        <f>(660450*'Supuestos Gastos '!$F$6)+660450</f>
        <v>683565.75</v>
      </c>
      <c r="U45" s="376"/>
      <c r="W45" s="376"/>
      <c r="X45" s="151"/>
      <c r="Y45" s="150"/>
      <c r="Z45" s="150"/>
    </row>
    <row r="46" spans="1:29" ht="15.75" thickBot="1" x14ac:dyDescent="0.3">
      <c r="E46" s="388"/>
      <c r="F46" s="388"/>
      <c r="G46" s="156"/>
      <c r="H46" s="156"/>
      <c r="I46" s="156"/>
      <c r="J46" s="156"/>
      <c r="K46" s="156"/>
      <c r="L46" s="156"/>
      <c r="M46" s="156"/>
      <c r="N46" s="156"/>
      <c r="O46" s="156"/>
      <c r="P46" s="156"/>
      <c r="Q46" s="156"/>
      <c r="R46" s="156"/>
      <c r="S46" s="156"/>
      <c r="T46" s="156"/>
      <c r="U46" s="156"/>
      <c r="V46" s="156"/>
    </row>
    <row r="47" spans="1:29" ht="15.75" thickBot="1" x14ac:dyDescent="0.3">
      <c r="A47" s="94"/>
      <c r="B47" s="94"/>
      <c r="C47" s="94"/>
      <c r="D47" s="166"/>
      <c r="E47" s="476">
        <v>2018</v>
      </c>
      <c r="F47" s="1557" t="s">
        <v>275</v>
      </c>
      <c r="G47" s="1558"/>
      <c r="H47" s="1559"/>
      <c r="I47" s="380"/>
      <c r="J47" s="380"/>
      <c r="K47" s="380"/>
      <c r="L47" s="380"/>
      <c r="M47" s="380"/>
      <c r="N47" s="380"/>
      <c r="O47" s="380"/>
      <c r="P47" s="380"/>
      <c r="Q47" s="380"/>
      <c r="R47" s="380"/>
      <c r="S47" s="380"/>
      <c r="T47" s="381"/>
      <c r="U47" s="96"/>
      <c r="V47" s="96"/>
      <c r="AA47" s="96"/>
    </row>
    <row r="48" spans="1:29" ht="26.25" thickBot="1" x14ac:dyDescent="0.3">
      <c r="A48" s="2" t="s">
        <v>203</v>
      </c>
      <c r="B48" s="113" t="s">
        <v>110</v>
      </c>
      <c r="C48" s="114" t="s">
        <v>111</v>
      </c>
      <c r="D48" s="436" t="s">
        <v>112</v>
      </c>
      <c r="E48" s="449" t="s">
        <v>1</v>
      </c>
      <c r="F48" s="443" t="s">
        <v>1</v>
      </c>
      <c r="G48" s="352" t="s">
        <v>39</v>
      </c>
      <c r="H48" s="444" t="s">
        <v>2</v>
      </c>
      <c r="I48" s="440" t="s">
        <v>3</v>
      </c>
      <c r="J48" s="354" t="s">
        <v>4</v>
      </c>
      <c r="K48" s="354" t="s">
        <v>5</v>
      </c>
      <c r="L48" s="354" t="s">
        <v>6</v>
      </c>
      <c r="M48" s="354" t="s">
        <v>7</v>
      </c>
      <c r="N48" s="354" t="s">
        <v>8</v>
      </c>
      <c r="O48" s="354" t="s">
        <v>9</v>
      </c>
      <c r="P48" s="354" t="s">
        <v>10</v>
      </c>
      <c r="Q48" s="354" t="s">
        <v>11</v>
      </c>
      <c r="R48" s="354" t="s">
        <v>12</v>
      </c>
      <c r="S48" s="354" t="s">
        <v>13</v>
      </c>
      <c r="T48" s="354" t="s">
        <v>14</v>
      </c>
      <c r="U48" s="354" t="s">
        <v>95</v>
      </c>
      <c r="V48" s="355" t="s">
        <v>14</v>
      </c>
      <c r="AA48" s="96"/>
    </row>
    <row r="49" spans="1:29" x14ac:dyDescent="0.25">
      <c r="A49" s="1110" t="s">
        <v>204</v>
      </c>
      <c r="B49" s="117">
        <v>43467</v>
      </c>
      <c r="C49" s="99">
        <v>43646</v>
      </c>
      <c r="D49" s="437">
        <f t="shared" ref="D49" si="58">DAYS360(B49,C49)+1</f>
        <v>179</v>
      </c>
      <c r="E49" s="450">
        <v>4059510</v>
      </c>
      <c r="F49" s="445">
        <f>+E49*(1+'Supuestos Gastos '!$F$6)</f>
        <v>4201592.8499999996</v>
      </c>
      <c r="G49" s="357">
        <v>0</v>
      </c>
      <c r="H49" s="446">
        <f>SUM(F49:G49)</f>
        <v>4201592.8499999996</v>
      </c>
      <c r="I49" s="441">
        <f>ROUND(+((F49/'Supuestos Gastos '!$F$12)*D49),0)</f>
        <v>25069504</v>
      </c>
      <c r="J49" s="357">
        <f>ROUND(+((H49*D49)/'Supuestos Gastos '!$F$10),0)</f>
        <v>2089125</v>
      </c>
      <c r="K49" s="357">
        <f t="shared" ref="K49:K50" si="59">+ROUND(((H49/30)*D49)*0.01,-3)</f>
        <v>251000</v>
      </c>
      <c r="L49" s="357">
        <f t="shared" ref="L49:L50" si="60">+J49</f>
        <v>2089125</v>
      </c>
      <c r="M49" s="357">
        <f>ROUND(+(F49*D49)/720,0)-1</f>
        <v>1044562</v>
      </c>
      <c r="N49" s="357">
        <f>ROUNDUP((+$I49)*'Supuestos Gastos '!$F$19,-3)</f>
        <v>3009000</v>
      </c>
      <c r="O49" s="357">
        <f>ROUNDUP((+$I49)*'Supuestos Gastos '!$F$20,-3)</f>
        <v>2131000</v>
      </c>
      <c r="P49" s="357">
        <f>ROUNDUP((+$I49)*'Supuestos Gastos '!$F$23,-3)</f>
        <v>262000</v>
      </c>
      <c r="Q49" s="357">
        <f t="shared" ref="Q49:Q50" si="61">ROUND((I49*4%)+(M49*4%),-3)</f>
        <v>1045000</v>
      </c>
      <c r="R49" s="357">
        <f t="shared" ref="R49:R50" si="62">ROUND((I49*2%)+(M49*2%),0-3)</f>
        <v>522000</v>
      </c>
      <c r="S49" s="357">
        <f t="shared" ref="S49:S50" si="63">ROUND((I49*3%)+(M49*3%),-3)</f>
        <v>783000</v>
      </c>
      <c r="T49" s="357">
        <f>SUM(I49:S49)</f>
        <v>38295316</v>
      </c>
      <c r="U49" s="395"/>
      <c r="V49" s="359">
        <f>+T49</f>
        <v>38295316</v>
      </c>
      <c r="X49" s="150">
        <f t="shared" si="10"/>
        <v>4225543.9589999998</v>
      </c>
      <c r="Y49" s="150">
        <f t="shared" si="11"/>
        <v>-23951.109000000171</v>
      </c>
      <c r="AA49" s="96"/>
    </row>
    <row r="50" spans="1:29" ht="15.75" thickBot="1" x14ac:dyDescent="0.3">
      <c r="A50" s="106" t="s">
        <v>202</v>
      </c>
      <c r="B50" s="1109">
        <v>43479</v>
      </c>
      <c r="C50" s="100">
        <v>43646</v>
      </c>
      <c r="D50" s="438">
        <f>DAYS360(B50,C50)+1</f>
        <v>167</v>
      </c>
      <c r="E50" s="451">
        <v>2081799.9999999998</v>
      </c>
      <c r="F50" s="453">
        <f>+E50*(1+'Supuestos Gastos '!$F$6)</f>
        <v>2154662.9999999995</v>
      </c>
      <c r="G50" s="361">
        <v>0</v>
      </c>
      <c r="H50" s="447">
        <f>SUM(F50:G50)</f>
        <v>2154662.9999999995</v>
      </c>
      <c r="I50" s="442">
        <f>ROUND(+((F50/'Supuestos Gastos '!$F$12)*D50),0)</f>
        <v>11994291</v>
      </c>
      <c r="J50" s="361">
        <f>ROUND(+((H50*D50)/'Supuestos Gastos '!$F$10),0)</f>
        <v>999524</v>
      </c>
      <c r="K50" s="361">
        <f t="shared" si="59"/>
        <v>120000</v>
      </c>
      <c r="L50" s="361">
        <f t="shared" si="60"/>
        <v>999524</v>
      </c>
      <c r="M50" s="361">
        <f>ROUND(+(F50*D50)/720,0)</f>
        <v>499762</v>
      </c>
      <c r="N50" s="361">
        <f>ROUNDUP((+$I50)*'Supuestos Gastos '!$F$19,-3)</f>
        <v>1440000</v>
      </c>
      <c r="O50" s="361">
        <f>ROUNDUP((+$I50)*'Supuestos Gastos '!$F$20,-3)</f>
        <v>1020000</v>
      </c>
      <c r="P50" s="361">
        <f>ROUNDUP((+$I50)*'Supuestos Gastos '!$F$22,-3)</f>
        <v>63000</v>
      </c>
      <c r="Q50" s="361">
        <f t="shared" si="61"/>
        <v>500000</v>
      </c>
      <c r="R50" s="361">
        <f t="shared" si="62"/>
        <v>250000</v>
      </c>
      <c r="S50" s="361">
        <f t="shared" si="63"/>
        <v>375000</v>
      </c>
      <c r="T50" s="361">
        <f>SUM(I50:S50)+((G50/30)*D50)</f>
        <v>18261101</v>
      </c>
      <c r="U50" s="361">
        <v>0</v>
      </c>
      <c r="V50" s="363">
        <f>+U50+T50</f>
        <v>18261101</v>
      </c>
      <c r="X50" s="150">
        <f t="shared" si="10"/>
        <v>2166945.6199999996</v>
      </c>
      <c r="AA50" s="96"/>
    </row>
    <row r="51" spans="1:29" s="119" customFormat="1" ht="15.75" thickBot="1" x14ac:dyDescent="0.3">
      <c r="A51" s="104" t="s">
        <v>205</v>
      </c>
      <c r="B51" s="102"/>
      <c r="C51" s="92"/>
      <c r="D51" s="439"/>
      <c r="E51" s="452">
        <f>SUM(E49:E50)</f>
        <v>6141310</v>
      </c>
      <c r="F51" s="448">
        <f>SUM(F49:F50)</f>
        <v>6356255.8499999996</v>
      </c>
      <c r="G51" s="397">
        <f t="shared" ref="G51:U51" si="64">SUM(G49:G50)</f>
        <v>0</v>
      </c>
      <c r="H51" s="397">
        <f t="shared" si="64"/>
        <v>6356255.8499999996</v>
      </c>
      <c r="I51" s="397">
        <f t="shared" si="64"/>
        <v>37063795</v>
      </c>
      <c r="J51" s="397">
        <f t="shared" si="64"/>
        <v>3088649</v>
      </c>
      <c r="K51" s="397">
        <f t="shared" si="64"/>
        <v>371000</v>
      </c>
      <c r="L51" s="397">
        <f t="shared" si="64"/>
        <v>3088649</v>
      </c>
      <c r="M51" s="397">
        <f t="shared" si="64"/>
        <v>1544324</v>
      </c>
      <c r="N51" s="397">
        <f t="shared" si="64"/>
        <v>4449000</v>
      </c>
      <c r="O51" s="397">
        <f t="shared" si="64"/>
        <v>3151000</v>
      </c>
      <c r="P51" s="397">
        <f t="shared" si="64"/>
        <v>325000</v>
      </c>
      <c r="Q51" s="397">
        <f t="shared" si="64"/>
        <v>1545000</v>
      </c>
      <c r="R51" s="397">
        <f t="shared" si="64"/>
        <v>772000</v>
      </c>
      <c r="S51" s="397">
        <f t="shared" si="64"/>
        <v>1158000</v>
      </c>
      <c r="T51" s="397">
        <f>SUM(T49:T50)</f>
        <v>56556417</v>
      </c>
      <c r="U51" s="397">
        <f t="shared" si="64"/>
        <v>0</v>
      </c>
      <c r="V51" s="397">
        <f>SUM(V49:V50)</f>
        <v>56556417</v>
      </c>
      <c r="W51" s="151"/>
      <c r="X51" s="152"/>
      <c r="Y51" s="152"/>
    </row>
    <row r="52" spans="1:29" ht="15.75" thickBot="1" x14ac:dyDescent="0.3">
      <c r="A52" s="154"/>
      <c r="B52" s="155"/>
      <c r="C52" s="155"/>
      <c r="D52" s="167"/>
      <c r="E52" s="399"/>
      <c r="F52" s="399"/>
      <c r="G52" s="400"/>
      <c r="H52" s="400"/>
      <c r="I52" s="400"/>
      <c r="J52" s="400"/>
      <c r="K52" s="400"/>
      <c r="L52" s="400"/>
      <c r="M52" s="400"/>
      <c r="N52" s="400"/>
      <c r="O52" s="400"/>
      <c r="P52" s="400"/>
      <c r="Q52" s="400"/>
      <c r="R52" s="400"/>
      <c r="S52" s="400"/>
      <c r="T52" s="400"/>
      <c r="U52" s="401"/>
      <c r="V52" s="402"/>
      <c r="AA52" s="96"/>
    </row>
    <row r="53" spans="1:29" s="119" customFormat="1" ht="15.75" thickBot="1" x14ac:dyDescent="0.3">
      <c r="A53" s="1560" t="s">
        <v>219</v>
      </c>
      <c r="B53" s="1561"/>
      <c r="C53" s="1561"/>
      <c r="D53" s="1562"/>
      <c r="E53" s="403">
        <f>+E9</f>
        <v>3302255</v>
      </c>
      <c r="F53" s="403">
        <f>+F9</f>
        <v>3521796.57</v>
      </c>
      <c r="G53" s="403">
        <f>+G9/30*D8</f>
        <v>1108371.2150000001</v>
      </c>
      <c r="H53" s="403">
        <f t="shared" ref="H53:V53" si="65">+H9</f>
        <v>3614418.12</v>
      </c>
      <c r="I53" s="403">
        <f t="shared" si="65"/>
        <v>42144166</v>
      </c>
      <c r="J53" s="403">
        <f t="shared" si="65"/>
        <v>3604378</v>
      </c>
      <c r="K53" s="403">
        <f t="shared" si="65"/>
        <v>433000</v>
      </c>
      <c r="L53" s="403">
        <f t="shared" si="65"/>
        <v>3604378</v>
      </c>
      <c r="M53" s="403">
        <f t="shared" si="65"/>
        <v>1756007</v>
      </c>
      <c r="N53" s="403">
        <f t="shared" si="65"/>
        <v>5059000</v>
      </c>
      <c r="O53" s="403">
        <f t="shared" si="65"/>
        <v>3583000</v>
      </c>
      <c r="P53" s="403">
        <f t="shared" si="65"/>
        <v>221000</v>
      </c>
      <c r="Q53" s="403">
        <f t="shared" si="65"/>
        <v>1756000</v>
      </c>
      <c r="R53" s="403">
        <f t="shared" si="65"/>
        <v>878000</v>
      </c>
      <c r="S53" s="403">
        <f t="shared" si="65"/>
        <v>1317000</v>
      </c>
      <c r="T53" s="403">
        <f t="shared" si="65"/>
        <v>65464300</v>
      </c>
      <c r="U53" s="403">
        <f t="shared" si="65"/>
        <v>683565.75</v>
      </c>
      <c r="V53" s="404">
        <f t="shared" si="65"/>
        <v>66147865.75</v>
      </c>
      <c r="W53" s="151"/>
      <c r="X53" s="152"/>
      <c r="Y53" s="152"/>
      <c r="AA53" s="4"/>
      <c r="AC53" s="1094"/>
    </row>
    <row r="54" spans="1:29" s="119" customFormat="1" ht="15.75" thickBot="1" x14ac:dyDescent="0.3">
      <c r="A54" s="1560" t="s">
        <v>220</v>
      </c>
      <c r="B54" s="1561"/>
      <c r="C54" s="1561"/>
      <c r="D54" s="1562"/>
      <c r="E54" s="403">
        <f>+E28+E36+E43+E51</f>
        <v>35506617</v>
      </c>
      <c r="F54" s="403">
        <f>+F28+F36+F43+F51</f>
        <v>41686541.295000002</v>
      </c>
      <c r="G54" s="403">
        <f>+G53*3</f>
        <v>3325113.6450000005</v>
      </c>
      <c r="H54" s="403">
        <f t="shared" ref="H54:V54" si="66">+H28+H36+H43+H51</f>
        <v>41964406.395000003</v>
      </c>
      <c r="I54" s="403">
        <f t="shared" si="66"/>
        <v>456316229</v>
      </c>
      <c r="J54" s="403">
        <f t="shared" si="66"/>
        <v>36665115</v>
      </c>
      <c r="K54" s="403">
        <f t="shared" si="66"/>
        <v>4402000</v>
      </c>
      <c r="L54" s="403">
        <f t="shared" si="66"/>
        <v>36665115</v>
      </c>
      <c r="M54" s="403">
        <f t="shared" si="66"/>
        <v>18194015</v>
      </c>
      <c r="N54" s="403">
        <f t="shared" si="66"/>
        <v>52408000</v>
      </c>
      <c r="O54" s="403">
        <f t="shared" si="66"/>
        <v>39582000</v>
      </c>
      <c r="P54" s="403">
        <f t="shared" si="66"/>
        <v>4250000</v>
      </c>
      <c r="Q54" s="403">
        <f t="shared" si="66"/>
        <v>18195000</v>
      </c>
      <c r="R54" s="403">
        <f t="shared" si="66"/>
        <v>9096000</v>
      </c>
      <c r="S54" s="403">
        <f t="shared" si="66"/>
        <v>13642000</v>
      </c>
      <c r="T54" s="403">
        <f t="shared" si="66"/>
        <v>692740593</v>
      </c>
      <c r="U54" s="403">
        <f t="shared" si="66"/>
        <v>2050697.25</v>
      </c>
      <c r="V54" s="404">
        <f t="shared" si="66"/>
        <v>694791290.25</v>
      </c>
      <c r="W54" s="151"/>
      <c r="X54" s="152"/>
      <c r="Y54" s="152"/>
      <c r="AA54" s="4"/>
      <c r="AC54" s="1094"/>
    </row>
    <row r="55" spans="1:29" s="119" customFormat="1" ht="15.75" thickBot="1" x14ac:dyDescent="0.3">
      <c r="A55" s="1560" t="s">
        <v>221</v>
      </c>
      <c r="B55" s="1561"/>
      <c r="C55" s="1561"/>
      <c r="D55" s="1562"/>
      <c r="E55" s="403">
        <f>+E53+E54</f>
        <v>38808872</v>
      </c>
      <c r="F55" s="403">
        <f>+F53+F54</f>
        <v>45208337.865000002</v>
      </c>
      <c r="G55" s="403">
        <f t="shared" ref="G55:V55" si="67">+G53+G54</f>
        <v>4433484.8600000003</v>
      </c>
      <c r="H55" s="403">
        <f t="shared" si="67"/>
        <v>45578824.515000001</v>
      </c>
      <c r="I55" s="403">
        <f t="shared" si="67"/>
        <v>498460395</v>
      </c>
      <c r="J55" s="403">
        <f>+J53+J54</f>
        <v>40269493</v>
      </c>
      <c r="K55" s="403">
        <f t="shared" si="67"/>
        <v>4835000</v>
      </c>
      <c r="L55" s="403">
        <f t="shared" si="67"/>
        <v>40269493</v>
      </c>
      <c r="M55" s="403">
        <f t="shared" si="67"/>
        <v>19950022</v>
      </c>
      <c r="N55" s="403">
        <f t="shared" si="67"/>
        <v>57467000</v>
      </c>
      <c r="O55" s="403">
        <f t="shared" si="67"/>
        <v>43165000</v>
      </c>
      <c r="P55" s="403">
        <f t="shared" si="67"/>
        <v>4471000</v>
      </c>
      <c r="Q55" s="403">
        <f t="shared" si="67"/>
        <v>19951000</v>
      </c>
      <c r="R55" s="403">
        <f t="shared" si="67"/>
        <v>9974000</v>
      </c>
      <c r="S55" s="403">
        <f t="shared" si="67"/>
        <v>14959000</v>
      </c>
      <c r="T55" s="403">
        <f t="shared" si="67"/>
        <v>758204893</v>
      </c>
      <c r="U55" s="403">
        <f t="shared" si="67"/>
        <v>2734263</v>
      </c>
      <c r="V55" s="404">
        <f t="shared" si="67"/>
        <v>760939156</v>
      </c>
      <c r="W55" s="151"/>
      <c r="X55" s="152"/>
      <c r="Y55" s="152"/>
      <c r="AA55" s="4"/>
    </row>
    <row r="56" spans="1:29" x14ac:dyDescent="0.25">
      <c r="E56" s="388"/>
    </row>
    <row r="57" spans="1:29" x14ac:dyDescent="0.25">
      <c r="E57" s="388"/>
      <c r="V57" s="350">
        <f>+'FUNCIONAMIENTO '!E6+'FUNCIONAMIENTO '!E7+'FUNCIONAMIENTO '!E8+'RECAUDO '!E6+'RECAUDO '!E8+'SISTEMAS DE INF '!E6+'SISTEMAS DE INF '!E7+ITPA!E6+ITPA!E8+ITPA!E9+ITPA!E14+'PROMOCION AL CONSUMO'!E6+'PROMOCION AL CONSUMO'!E7</f>
        <v>760939156</v>
      </c>
    </row>
    <row r="58" spans="1:29" x14ac:dyDescent="0.25">
      <c r="F58" s="128"/>
      <c r="N58" s="347"/>
      <c r="O58" s="347"/>
      <c r="P58" s="347"/>
      <c r="Q58" s="347"/>
      <c r="R58" s="347"/>
      <c r="S58" s="347"/>
      <c r="T58" s="347"/>
      <c r="U58" s="347"/>
      <c r="V58" s="347">
        <f>+V55-V57</f>
        <v>0</v>
      </c>
    </row>
    <row r="59" spans="1:29" x14ac:dyDescent="0.25">
      <c r="F59" s="128"/>
    </row>
    <row r="61" spans="1:29" x14ac:dyDescent="0.25">
      <c r="F61" s="128"/>
    </row>
  </sheetData>
  <autoFilter ref="A1:V55" xr:uid="{00000000-0009-0000-0000-000009000000}"/>
  <mergeCells count="10">
    <mergeCell ref="A53:D53"/>
    <mergeCell ref="A54:D54"/>
    <mergeCell ref="A55:D55"/>
    <mergeCell ref="F38:H38"/>
    <mergeCell ref="F47:H47"/>
    <mergeCell ref="A2:V2"/>
    <mergeCell ref="A3:V3"/>
    <mergeCell ref="F13:H13"/>
    <mergeCell ref="F5:H5"/>
    <mergeCell ref="F32:H32"/>
  </mergeCells>
  <printOptions horizontalCentered="1"/>
  <pageMargins left="0.19685039370078741" right="0.19685039370078741" top="0.78740157480314965" bottom="0.39370078740157483" header="0.31496062992125984" footer="0.31496062992125984"/>
  <pageSetup scale="36"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Q14"/>
  <sheetViews>
    <sheetView zoomScale="70" zoomScaleNormal="70" workbookViewId="0">
      <selection activeCell="F13" sqref="F13:H15"/>
    </sheetView>
  </sheetViews>
  <sheetFormatPr baseColWidth="10" defaultColWidth="11.5703125" defaultRowHeight="15" x14ac:dyDescent="0.2"/>
  <cols>
    <col min="1" max="1" width="9.28515625" style="1319" customWidth="1"/>
    <col min="2" max="2" width="22.28515625" style="1279" customWidth="1"/>
    <col min="3" max="3" width="22.28515625" style="1380" customWidth="1"/>
    <col min="4" max="4" width="36.140625" style="1150" customWidth="1"/>
    <col min="5" max="5" width="17.28515625" style="1150" bestFit="1" customWidth="1"/>
    <col min="6" max="6" width="16" style="1150" bestFit="1" customWidth="1"/>
    <col min="7" max="7" width="20.28515625" style="1150" customWidth="1"/>
    <col min="8" max="8" width="18" style="1150" customWidth="1"/>
    <col min="9" max="9" width="103" style="1150" customWidth="1"/>
    <col min="10" max="10" width="11.5703125" style="1150"/>
    <col min="11" max="11" width="19.42578125" style="142" bestFit="1" customWidth="1"/>
    <col min="12" max="12" width="16" style="142" bestFit="1" customWidth="1"/>
    <col min="13" max="13" width="18.140625" style="1160" bestFit="1" customWidth="1"/>
    <col min="14" max="14" width="16.28515625" style="1150" bestFit="1" customWidth="1"/>
    <col min="15" max="15" width="18.140625" style="142" bestFit="1" customWidth="1"/>
    <col min="16" max="16" width="14.7109375" style="1150" bestFit="1" customWidth="1"/>
    <col min="17" max="16384" width="11.5703125" style="1150"/>
  </cols>
  <sheetData>
    <row r="1" spans="1:17" ht="21" customHeight="1" x14ac:dyDescent="0.2">
      <c r="B1" s="1572" t="s">
        <v>55</v>
      </c>
      <c r="C1" s="1572"/>
      <c r="D1" s="1572"/>
      <c r="E1" s="1572"/>
      <c r="F1" s="1572"/>
      <c r="G1" s="1572"/>
      <c r="H1" s="1572"/>
      <c r="I1" s="1572"/>
    </row>
    <row r="2" spans="1:17" ht="21" customHeight="1" x14ac:dyDescent="0.2">
      <c r="B2" s="1572" t="s">
        <v>584</v>
      </c>
      <c r="C2" s="1572"/>
      <c r="D2" s="1572"/>
      <c r="E2" s="1572"/>
      <c r="F2" s="1572"/>
      <c r="G2" s="1572"/>
      <c r="H2" s="1572"/>
      <c r="I2" s="1572"/>
    </row>
    <row r="3" spans="1:17" ht="16.149999999999999" customHeight="1" thickBot="1" x14ac:dyDescent="0.25">
      <c r="D3" s="107"/>
      <c r="E3" s="107"/>
      <c r="F3" s="107"/>
      <c r="G3" s="107"/>
      <c r="H3" s="107"/>
      <c r="I3" s="107"/>
    </row>
    <row r="4" spans="1:17" ht="32.25" thickBot="1" x14ac:dyDescent="0.25">
      <c r="B4" s="1324" t="s">
        <v>159</v>
      </c>
      <c r="C4" s="1405" t="s">
        <v>496</v>
      </c>
      <c r="D4" s="1326" t="s">
        <v>212</v>
      </c>
      <c r="E4" s="1325" t="s">
        <v>183</v>
      </c>
      <c r="F4" s="1326" t="s">
        <v>133</v>
      </c>
      <c r="G4" s="1326" t="s">
        <v>188</v>
      </c>
      <c r="H4" s="1325" t="s">
        <v>274</v>
      </c>
      <c r="I4" s="1327" t="s">
        <v>182</v>
      </c>
    </row>
    <row r="5" spans="1:17" s="1160" customFormat="1" ht="30" x14ac:dyDescent="0.2">
      <c r="A5" s="1328"/>
      <c r="B5" s="1566" t="s">
        <v>21</v>
      </c>
      <c r="C5" s="1568" t="s">
        <v>21</v>
      </c>
      <c r="D5" s="1381" t="s">
        <v>249</v>
      </c>
      <c r="E5" s="1382">
        <v>10000000</v>
      </c>
      <c r="F5" s="1383">
        <v>1</v>
      </c>
      <c r="G5" s="1383" t="s">
        <v>189</v>
      </c>
      <c r="H5" s="1384">
        <f>+E5*F5</f>
        <v>10000000</v>
      </c>
      <c r="I5" s="1385" t="s">
        <v>585</v>
      </c>
      <c r="J5" s="1150"/>
      <c r="K5" s="142"/>
      <c r="L5" s="434"/>
      <c r="N5" s="1150"/>
      <c r="O5" s="142"/>
      <c r="P5" s="1150"/>
      <c r="Q5" s="1150"/>
    </row>
    <row r="6" spans="1:17" s="1160" customFormat="1" ht="45.75" thickBot="1" x14ac:dyDescent="0.25">
      <c r="A6" s="1328"/>
      <c r="B6" s="1567"/>
      <c r="C6" s="1569"/>
      <c r="D6" s="1386" t="s">
        <v>153</v>
      </c>
      <c r="E6" s="1322">
        <f>ROUND((5600000*3.5%)+5600000,-3)</f>
        <v>5796000</v>
      </c>
      <c r="F6" s="1323">
        <v>12</v>
      </c>
      <c r="G6" s="1323" t="s">
        <v>189</v>
      </c>
      <c r="H6" s="1387">
        <f>+F6*E6</f>
        <v>69552000</v>
      </c>
      <c r="I6" s="1388" t="s">
        <v>466</v>
      </c>
      <c r="J6" s="1150"/>
      <c r="K6" s="142"/>
      <c r="L6" s="434"/>
      <c r="N6" s="1150"/>
      <c r="O6" s="142"/>
      <c r="P6" s="1150"/>
      <c r="Q6" s="1150"/>
    </row>
    <row r="7" spans="1:17" s="1212" customFormat="1" ht="60.75" thickBot="1" x14ac:dyDescent="0.3">
      <c r="A7" s="1318"/>
      <c r="B7" s="1316" t="s">
        <v>20</v>
      </c>
      <c r="C7" s="1414" t="s">
        <v>20</v>
      </c>
      <c r="D7" s="1415" t="s">
        <v>308</v>
      </c>
      <c r="E7" s="1416">
        <f>24000000*0.19+24000000</f>
        <v>28560000</v>
      </c>
      <c r="F7" s="1417">
        <v>1</v>
      </c>
      <c r="G7" s="1414" t="s">
        <v>309</v>
      </c>
      <c r="H7" s="1407">
        <f>+E7*F7</f>
        <v>28560000</v>
      </c>
      <c r="I7" s="1418" t="s">
        <v>469</v>
      </c>
      <c r="J7" s="1225"/>
    </row>
    <row r="8" spans="1:17" s="1245" customFormat="1" ht="30" customHeight="1" x14ac:dyDescent="0.25">
      <c r="A8" s="1334"/>
      <c r="B8" s="1570" t="s">
        <v>586</v>
      </c>
      <c r="C8" s="1423" t="s">
        <v>441</v>
      </c>
      <c r="D8" s="1408" t="s">
        <v>459</v>
      </c>
      <c r="E8" s="1409">
        <v>3850000</v>
      </c>
      <c r="F8" s="1410">
        <f>24*45</f>
        <v>1080</v>
      </c>
      <c r="G8" s="1411" t="s">
        <v>587</v>
      </c>
      <c r="H8" s="1412">
        <f>+E8/30*F8</f>
        <v>138600000</v>
      </c>
      <c r="I8" s="1413" t="s">
        <v>465</v>
      </c>
      <c r="J8" s="1248"/>
      <c r="K8" s="1248"/>
      <c r="L8" s="1249"/>
      <c r="M8" s="1211"/>
      <c r="N8" s="1211"/>
    </row>
    <row r="9" spans="1:17" s="1334" customFormat="1" ht="60.75" thickBot="1" x14ac:dyDescent="0.3">
      <c r="B9" s="1571"/>
      <c r="C9" s="1323" t="s">
        <v>498</v>
      </c>
      <c r="D9" s="1392" t="s">
        <v>493</v>
      </c>
      <c r="E9" s="1393">
        <v>30000000</v>
      </c>
      <c r="F9" s="1394">
        <v>1</v>
      </c>
      <c r="G9" s="1395" t="s">
        <v>499</v>
      </c>
      <c r="H9" s="1396">
        <f>+E9*F9</f>
        <v>30000000</v>
      </c>
      <c r="I9" s="1397" t="s">
        <v>495</v>
      </c>
      <c r="J9" s="1347"/>
      <c r="K9" s="1347"/>
      <c r="L9" s="1348"/>
    </row>
    <row r="10" spans="1:17" s="1404" customFormat="1" ht="30.75" thickBot="1" x14ac:dyDescent="0.3">
      <c r="B10" s="1403" t="s">
        <v>476</v>
      </c>
      <c r="C10" s="1406" t="s">
        <v>497</v>
      </c>
      <c r="D10" s="1389" t="s">
        <v>360</v>
      </c>
      <c r="E10" s="1280">
        <v>150000</v>
      </c>
      <c r="F10" s="1390">
        <v>11</v>
      </c>
      <c r="G10" s="1391" t="s">
        <v>588</v>
      </c>
      <c r="H10" s="1407">
        <f>+E10*F10</f>
        <v>1650000</v>
      </c>
      <c r="I10" s="1281" t="s">
        <v>589</v>
      </c>
      <c r="J10" s="1331"/>
      <c r="K10" s="1332"/>
      <c r="L10" s="1331"/>
      <c r="M10" s="1331"/>
      <c r="N10" s="1331"/>
      <c r="O10" s="1333"/>
      <c r="P10" s="1331"/>
      <c r="Q10" s="1331"/>
    </row>
    <row r="11" spans="1:17" ht="16.149999999999999" customHeight="1" thickBot="1" x14ac:dyDescent="0.3">
      <c r="B11" s="1563" t="s">
        <v>513</v>
      </c>
      <c r="C11" s="1564"/>
      <c r="D11" s="1564"/>
      <c r="E11" s="1564"/>
      <c r="F11" s="1564"/>
      <c r="G11" s="1565"/>
      <c r="H11" s="1439">
        <f>SUM(H5:H10)</f>
        <v>278362000</v>
      </c>
      <c r="I11" s="1440"/>
    </row>
    <row r="12" spans="1:17" x14ac:dyDescent="0.2">
      <c r="H12" s="1320"/>
    </row>
    <row r="14" spans="1:17" x14ac:dyDescent="0.2">
      <c r="H14" s="1320"/>
    </row>
  </sheetData>
  <mergeCells count="6">
    <mergeCell ref="B11:G11"/>
    <mergeCell ref="B5:B6"/>
    <mergeCell ref="C5:C6"/>
    <mergeCell ref="B8:B9"/>
    <mergeCell ref="B1:I1"/>
    <mergeCell ref="B2:I2"/>
  </mergeCells>
  <printOptions horizontalCentered="1"/>
  <pageMargins left="0.19685039370078741" right="0.19685039370078741" top="1.1811023622047245" bottom="0.19685039370078741" header="0.31496062992125984" footer="0.31496062992125984"/>
  <pageSetup scale="5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1"/>
  <sheetViews>
    <sheetView topLeftCell="A28" zoomScale="70" zoomScaleNormal="70" workbookViewId="0">
      <selection activeCell="F13" sqref="F13:H15"/>
    </sheetView>
  </sheetViews>
  <sheetFormatPr baseColWidth="10" defaultColWidth="11.5703125" defaultRowHeight="15" x14ac:dyDescent="0.2"/>
  <cols>
    <col min="1" max="1" width="36.140625" style="85" customWidth="1"/>
    <col min="2" max="2" width="17.28515625" style="85" bestFit="1" customWidth="1"/>
    <col min="3" max="3" width="16" style="85" bestFit="1" customWidth="1"/>
    <col min="4" max="4" width="20.28515625" style="85" customWidth="1"/>
    <col min="5" max="5" width="18" style="85" customWidth="1"/>
    <col min="6" max="6" width="17.5703125" style="85" customWidth="1"/>
    <col min="7" max="7" width="15.85546875" style="153" customWidth="1"/>
    <col min="8" max="8" width="103" style="85" customWidth="1"/>
    <col min="9" max="9" width="11.5703125" style="85"/>
    <col min="10" max="10" width="19.42578125" style="142" bestFit="1" customWidth="1"/>
    <col min="11" max="11" width="16" style="142" bestFit="1" customWidth="1"/>
    <col min="12" max="12" width="18.140625" style="429" bestFit="1" customWidth="1"/>
    <col min="13" max="13" width="16.28515625" style="85" bestFit="1" customWidth="1"/>
    <col min="14" max="14" width="18.140625" style="142" bestFit="1" customWidth="1"/>
    <col min="15" max="15" width="14.7109375" style="85" bestFit="1" customWidth="1"/>
    <col min="16" max="16384" width="11.5703125" style="85"/>
  </cols>
  <sheetData>
    <row r="1" spans="1:11" ht="20.25" x14ac:dyDescent="0.2">
      <c r="A1" s="1572" t="s">
        <v>55</v>
      </c>
      <c r="B1" s="1572"/>
      <c r="C1" s="1572"/>
      <c r="D1" s="1572"/>
      <c r="E1" s="1572"/>
      <c r="F1" s="1572"/>
      <c r="G1" s="1572"/>
      <c r="H1" s="1572"/>
    </row>
    <row r="2" spans="1:11" ht="20.25" x14ac:dyDescent="0.2">
      <c r="A2" s="1572" t="s">
        <v>431</v>
      </c>
      <c r="B2" s="1572"/>
      <c r="C2" s="1572"/>
      <c r="D2" s="1572"/>
      <c r="E2" s="1572"/>
      <c r="F2" s="1572"/>
      <c r="G2" s="1572"/>
      <c r="H2" s="1572"/>
    </row>
    <row r="3" spans="1:11" ht="16.149999999999999" customHeight="1" thickBot="1" x14ac:dyDescent="0.25">
      <c r="A3" s="107"/>
      <c r="B3" s="107"/>
      <c r="C3" s="107"/>
      <c r="D3" s="107"/>
      <c r="E3" s="107"/>
      <c r="F3" s="107"/>
      <c r="H3" s="107"/>
    </row>
    <row r="4" spans="1:11" ht="32.25" thickBot="1" x14ac:dyDescent="0.25">
      <c r="A4" s="210" t="s">
        <v>212</v>
      </c>
      <c r="B4" s="211" t="s">
        <v>183</v>
      </c>
      <c r="C4" s="212" t="s">
        <v>133</v>
      </c>
      <c r="D4" s="197" t="s">
        <v>188</v>
      </c>
      <c r="E4" s="213" t="s">
        <v>274</v>
      </c>
      <c r="F4" s="214" t="s">
        <v>206</v>
      </c>
      <c r="G4" s="236" t="s">
        <v>180</v>
      </c>
      <c r="H4" s="216" t="s">
        <v>182</v>
      </c>
    </row>
    <row r="5" spans="1:11" ht="15.75" x14ac:dyDescent="0.2">
      <c r="A5" s="192" t="s">
        <v>49</v>
      </c>
      <c r="B5" s="200"/>
      <c r="C5" s="217"/>
      <c r="D5" s="219"/>
      <c r="E5" s="220">
        <f>SUM(E6:E10)</f>
        <v>145699865.75</v>
      </c>
      <c r="F5" s="202">
        <f>SUM(F6:F10)</f>
        <v>137511132</v>
      </c>
      <c r="G5" s="1025">
        <f t="shared" ref="G5" si="0">(E5-F5)/F5</f>
        <v>5.9549606136614454E-2</v>
      </c>
      <c r="H5" s="225"/>
      <c r="K5" s="434"/>
    </row>
    <row r="6" spans="1:11" ht="45" x14ac:dyDescent="0.2">
      <c r="A6" s="110" t="s">
        <v>191</v>
      </c>
      <c r="B6" s="135">
        <f>+E6/C6</f>
        <v>3271069.0833333335</v>
      </c>
      <c r="C6" s="188">
        <v>12</v>
      </c>
      <c r="D6" s="120" t="s">
        <v>189</v>
      </c>
      <c r="E6" s="136">
        <f>+'Nomina 2019 PLANTA'!T7</f>
        <v>39252829</v>
      </c>
      <c r="F6" s="1273">
        <f>37921000+1649</f>
        <v>37922649</v>
      </c>
      <c r="G6" s="977">
        <f>(E6-F6)/F6</f>
        <v>3.5076136163378249E-2</v>
      </c>
      <c r="H6" s="127" t="s">
        <v>532</v>
      </c>
      <c r="K6" s="434"/>
    </row>
    <row r="7" spans="1:11" ht="30" x14ac:dyDescent="0.2">
      <c r="A7" s="110" t="s">
        <v>200</v>
      </c>
      <c r="B7" s="135">
        <f>+E7/C7</f>
        <v>2184289.25</v>
      </c>
      <c r="C7" s="188">
        <v>12</v>
      </c>
      <c r="D7" s="120" t="s">
        <v>189</v>
      </c>
      <c r="E7" s="136">
        <f>+'Nomina 2019 PLANTA'!T8</f>
        <v>26211471</v>
      </c>
      <c r="F7" s="1273">
        <v>25310000</v>
      </c>
      <c r="G7" s="977">
        <f>(E7-F7)/F7</f>
        <v>3.5617186882655076E-2</v>
      </c>
      <c r="H7" s="127" t="s">
        <v>536</v>
      </c>
      <c r="K7" s="434"/>
    </row>
    <row r="8" spans="1:11" ht="45" x14ac:dyDescent="0.2">
      <c r="A8" s="126" t="s">
        <v>135</v>
      </c>
      <c r="B8" s="135">
        <f>+E8/C8</f>
        <v>227855.25</v>
      </c>
      <c r="C8" s="188">
        <v>3</v>
      </c>
      <c r="D8" s="120" t="s">
        <v>192</v>
      </c>
      <c r="E8" s="136">
        <f>+'Nomina 2019 PLANTA'!U8</f>
        <v>683565.75</v>
      </c>
      <c r="F8" s="123">
        <v>658150</v>
      </c>
      <c r="G8" s="1022">
        <f>(E8-F8)/F8</f>
        <v>3.8616956620831117E-2</v>
      </c>
      <c r="H8" s="127" t="s">
        <v>590</v>
      </c>
      <c r="K8" s="434"/>
    </row>
    <row r="9" spans="1:11" ht="30" x14ac:dyDescent="0.2">
      <c r="A9" s="110" t="s">
        <v>249</v>
      </c>
      <c r="B9" s="135">
        <v>10000000</v>
      </c>
      <c r="C9" s="188">
        <v>1</v>
      </c>
      <c r="D9" s="120" t="s">
        <v>189</v>
      </c>
      <c r="E9" s="136">
        <f>+B9*C9</f>
        <v>10000000</v>
      </c>
      <c r="F9" s="123">
        <v>10000000</v>
      </c>
      <c r="G9" s="1022">
        <f>(E9-F9)/F9</f>
        <v>0</v>
      </c>
      <c r="H9" s="127" t="s">
        <v>585</v>
      </c>
      <c r="K9" s="434"/>
    </row>
    <row r="10" spans="1:11" ht="45" x14ac:dyDescent="0.2">
      <c r="A10" s="110" t="s">
        <v>153</v>
      </c>
      <c r="B10" s="135">
        <f>ROUND((5600000*3.5%)+5600000,-3)</f>
        <v>5796000</v>
      </c>
      <c r="C10" s="188">
        <v>12</v>
      </c>
      <c r="D10" s="120" t="s">
        <v>189</v>
      </c>
      <c r="E10" s="136">
        <f>+C10*B10</f>
        <v>69552000</v>
      </c>
      <c r="F10" s="123">
        <v>63620333</v>
      </c>
      <c r="G10" s="1022">
        <f t="shared" ref="G10" si="1">(E10-F10)/F10</f>
        <v>9.323539692884035E-2</v>
      </c>
      <c r="H10" s="127" t="s">
        <v>466</v>
      </c>
      <c r="K10" s="434"/>
    </row>
    <row r="11" spans="1:11" ht="15.75" x14ac:dyDescent="0.2">
      <c r="A11" s="125" t="s">
        <v>51</v>
      </c>
      <c r="B11" s="138"/>
      <c r="C11" s="109"/>
      <c r="D11" s="132"/>
      <c r="E11" s="139">
        <f>+E12+E19+E21+E23+E26+E27+E29+E41</f>
        <v>60971200</v>
      </c>
      <c r="F11" s="904">
        <f>+F12+F19+F21+F23+F26+F27+F29+F41</f>
        <v>37968464</v>
      </c>
      <c r="G11" s="1026">
        <f t="shared" ref="G11:G37" si="2">(E11-F11)/F11</f>
        <v>0.60583793961220023</v>
      </c>
      <c r="H11" s="133"/>
      <c r="K11" s="434"/>
    </row>
    <row r="12" spans="1:11" ht="15.6" customHeight="1" x14ac:dyDescent="0.2">
      <c r="A12" s="121" t="s">
        <v>136</v>
      </c>
      <c r="B12" s="131"/>
      <c r="C12" s="184"/>
      <c r="D12" s="185"/>
      <c r="E12" s="140">
        <f>SUM(E13:E18)</f>
        <v>7311200</v>
      </c>
      <c r="F12" s="221">
        <f>SUM(F13:F17)</f>
        <v>0</v>
      </c>
      <c r="G12" s="1021">
        <v>0</v>
      </c>
      <c r="H12" s="134"/>
      <c r="K12" s="434"/>
    </row>
    <row r="13" spans="1:11" ht="46.9" customHeight="1" x14ac:dyDescent="0.2">
      <c r="A13" s="126" t="s">
        <v>591</v>
      </c>
      <c r="B13" s="135">
        <v>4550000</v>
      </c>
      <c r="C13" s="188">
        <v>1</v>
      </c>
      <c r="D13" s="120" t="s">
        <v>591</v>
      </c>
      <c r="E13" s="136">
        <f>+B13*C13</f>
        <v>4550000</v>
      </c>
      <c r="F13" s="222">
        <v>0</v>
      </c>
      <c r="G13" s="1022">
        <v>1</v>
      </c>
      <c r="H13" s="127" t="s">
        <v>592</v>
      </c>
      <c r="K13" s="434"/>
    </row>
    <row r="14" spans="1:11" ht="30.6" customHeight="1" x14ac:dyDescent="0.2">
      <c r="A14" s="126" t="s">
        <v>593</v>
      </c>
      <c r="B14" s="135">
        <v>800000</v>
      </c>
      <c r="C14" s="188">
        <v>1</v>
      </c>
      <c r="D14" s="120" t="s">
        <v>225</v>
      </c>
      <c r="E14" s="201">
        <f t="shared" ref="E14" si="3">+B14*C14</f>
        <v>800000</v>
      </c>
      <c r="F14" s="664">
        <v>0</v>
      </c>
      <c r="G14" s="1022">
        <v>1</v>
      </c>
      <c r="H14" s="127" t="s">
        <v>594</v>
      </c>
      <c r="K14" s="434"/>
    </row>
    <row r="15" spans="1:11" ht="30" x14ac:dyDescent="0.2">
      <c r="A15" s="126" t="s">
        <v>393</v>
      </c>
      <c r="B15" s="135">
        <v>300000</v>
      </c>
      <c r="C15" s="188">
        <v>1</v>
      </c>
      <c r="D15" s="120" t="s">
        <v>225</v>
      </c>
      <c r="E15" s="201">
        <f t="shared" ref="E15" si="4">+B15*C15</f>
        <v>300000</v>
      </c>
      <c r="F15" s="664">
        <v>0</v>
      </c>
      <c r="G15" s="1022">
        <v>1</v>
      </c>
      <c r="H15" s="127" t="s">
        <v>595</v>
      </c>
      <c r="K15" s="434"/>
    </row>
    <row r="16" spans="1:11" s="84" customFormat="1" ht="30" x14ac:dyDescent="0.25">
      <c r="A16" s="124" t="s">
        <v>315</v>
      </c>
      <c r="B16" s="191">
        <v>110600</v>
      </c>
      <c r="C16" s="187">
        <v>2</v>
      </c>
      <c r="D16" s="120" t="s">
        <v>225</v>
      </c>
      <c r="E16" s="201">
        <f t="shared" ref="E16" si="5">+B16*C16</f>
        <v>221200</v>
      </c>
      <c r="F16" s="664">
        <v>0</v>
      </c>
      <c r="G16" s="1022">
        <v>1</v>
      </c>
      <c r="H16" s="654" t="s">
        <v>596</v>
      </c>
      <c r="I16" s="206"/>
    </row>
    <row r="17" spans="1:16" s="84" customFormat="1" ht="30" x14ac:dyDescent="0.25">
      <c r="A17" s="126" t="s">
        <v>337</v>
      </c>
      <c r="B17" s="135">
        <v>220000</v>
      </c>
      <c r="C17" s="188">
        <v>2</v>
      </c>
      <c r="D17" s="120" t="s">
        <v>338</v>
      </c>
      <c r="E17" s="136">
        <f>+B17*C17</f>
        <v>440000</v>
      </c>
      <c r="F17" s="222">
        <v>0</v>
      </c>
      <c r="G17" s="1022">
        <v>1</v>
      </c>
      <c r="H17" s="127" t="s">
        <v>339</v>
      </c>
      <c r="I17" s="206"/>
    </row>
    <row r="18" spans="1:16" s="1318" customFormat="1" ht="30" x14ac:dyDescent="0.25">
      <c r="A18" s="1215" t="s">
        <v>515</v>
      </c>
      <c r="B18" s="1151">
        <v>1000000</v>
      </c>
      <c r="C18" s="1220">
        <v>1</v>
      </c>
      <c r="D18" s="1213" t="s">
        <v>514</v>
      </c>
      <c r="E18" s="129">
        <f>+B18*C18</f>
        <v>1000000</v>
      </c>
      <c r="F18" s="1070">
        <v>0</v>
      </c>
      <c r="G18" s="1074">
        <v>1</v>
      </c>
      <c r="H18" s="1158" t="s">
        <v>597</v>
      </c>
      <c r="I18" s="1225"/>
    </row>
    <row r="19" spans="1:16" ht="15.75" x14ac:dyDescent="0.2">
      <c r="A19" s="121" t="s">
        <v>137</v>
      </c>
      <c r="B19" s="131"/>
      <c r="C19" s="184"/>
      <c r="D19" s="185"/>
      <c r="E19" s="140">
        <f>SUM(E20:E20)</f>
        <v>1200000</v>
      </c>
      <c r="F19" s="221">
        <f>SUM(F20:F20)</f>
        <v>1250942</v>
      </c>
      <c r="G19" s="1021">
        <f t="shared" si="2"/>
        <v>-4.072291121410905E-2</v>
      </c>
      <c r="H19" s="134"/>
      <c r="K19" s="434"/>
    </row>
    <row r="20" spans="1:16" ht="30" x14ac:dyDescent="0.2">
      <c r="A20" s="126" t="s">
        <v>138</v>
      </c>
      <c r="B20" s="135">
        <v>100000</v>
      </c>
      <c r="C20" s="188">
        <v>12</v>
      </c>
      <c r="D20" s="120" t="s">
        <v>189</v>
      </c>
      <c r="E20" s="136">
        <f>+B20*C20</f>
        <v>1200000</v>
      </c>
      <c r="F20" s="222">
        <v>1250942</v>
      </c>
      <c r="G20" s="1022">
        <f>(E20-F20)/F20</f>
        <v>-4.072291121410905E-2</v>
      </c>
      <c r="H20" s="127" t="s">
        <v>533</v>
      </c>
      <c r="K20" s="434"/>
    </row>
    <row r="21" spans="1:16" s="84" customFormat="1" ht="15.75" x14ac:dyDescent="0.25">
      <c r="A21" s="659" t="s">
        <v>318</v>
      </c>
      <c r="B21" s="660"/>
      <c r="C21" s="181"/>
      <c r="D21" s="182"/>
      <c r="E21" s="661">
        <f>SUM(E22:E22)</f>
        <v>30000</v>
      </c>
      <c r="F21" s="662">
        <f>SUM(F22:F22)</f>
        <v>0</v>
      </c>
      <c r="G21" s="1021">
        <v>1</v>
      </c>
      <c r="H21" s="663"/>
      <c r="I21" s="206"/>
    </row>
    <row r="22" spans="1:16" s="84" customFormat="1" ht="45" x14ac:dyDescent="0.25">
      <c r="A22" s="124" t="s">
        <v>334</v>
      </c>
      <c r="B22" s="122">
        <v>30000</v>
      </c>
      <c r="C22" s="187">
        <v>1</v>
      </c>
      <c r="D22" s="120" t="s">
        <v>194</v>
      </c>
      <c r="E22" s="129">
        <f t="shared" ref="E22" si="6">+B22*C22</f>
        <v>30000</v>
      </c>
      <c r="F22" s="203">
        <v>0</v>
      </c>
      <c r="G22" s="1022">
        <v>1</v>
      </c>
      <c r="H22" s="127" t="s">
        <v>534</v>
      </c>
      <c r="I22" s="206"/>
    </row>
    <row r="23" spans="1:16" ht="15.75" x14ac:dyDescent="0.2">
      <c r="A23" s="121" t="s">
        <v>139</v>
      </c>
      <c r="B23" s="131"/>
      <c r="C23" s="184"/>
      <c r="D23" s="185"/>
      <c r="E23" s="140">
        <f>SUM(E24:E25)</f>
        <v>1367400</v>
      </c>
      <c r="F23" s="221">
        <f>SUM(F24:F25)</f>
        <v>1320900</v>
      </c>
      <c r="G23" s="1021">
        <f t="shared" si="2"/>
        <v>3.5203270497388146E-2</v>
      </c>
      <c r="H23" s="134"/>
      <c r="K23" s="434"/>
    </row>
    <row r="24" spans="1:16" ht="30" x14ac:dyDescent="0.2">
      <c r="A24" s="126" t="s">
        <v>140</v>
      </c>
      <c r="B24" s="135">
        <f>ROUND((220150*3.5%)+220150,-2)</f>
        <v>227900</v>
      </c>
      <c r="C24" s="188">
        <v>3</v>
      </c>
      <c r="D24" s="120" t="s">
        <v>189</v>
      </c>
      <c r="E24" s="136">
        <f>+C24*B24</f>
        <v>683700</v>
      </c>
      <c r="F24" s="123">
        <v>660450</v>
      </c>
      <c r="G24" s="1022">
        <f t="shared" si="2"/>
        <v>3.5203270497388146E-2</v>
      </c>
      <c r="H24" s="127" t="s">
        <v>535</v>
      </c>
      <c r="K24" s="434"/>
    </row>
    <row r="25" spans="1:16" ht="30" x14ac:dyDescent="0.2">
      <c r="A25" s="126" t="s">
        <v>142</v>
      </c>
      <c r="B25" s="135">
        <f>ROUND((220150*3.5%)+220150,-2)</f>
        <v>227900</v>
      </c>
      <c r="C25" s="188">
        <v>3</v>
      </c>
      <c r="D25" s="120" t="s">
        <v>189</v>
      </c>
      <c r="E25" s="136">
        <f>+C25*B25</f>
        <v>683700</v>
      </c>
      <c r="F25" s="123">
        <v>660450</v>
      </c>
      <c r="G25" s="1022">
        <f t="shared" si="2"/>
        <v>3.5203270497388146E-2</v>
      </c>
      <c r="H25" s="127" t="s">
        <v>467</v>
      </c>
      <c r="K25" s="434"/>
    </row>
    <row r="26" spans="1:16" ht="60" x14ac:dyDescent="0.2">
      <c r="A26" s="121" t="s">
        <v>143</v>
      </c>
      <c r="B26" s="141">
        <f>ROUND((330226*3.5%)+330226,-2)</f>
        <v>341800</v>
      </c>
      <c r="C26" s="184">
        <v>12</v>
      </c>
      <c r="D26" s="185" t="s">
        <v>189</v>
      </c>
      <c r="E26" s="140">
        <f>+C26*B26</f>
        <v>4101600</v>
      </c>
      <c r="F26" s="130">
        <v>3962712</v>
      </c>
      <c r="G26" s="1021">
        <f>(E26-F26)/F26</f>
        <v>3.5048724207058193E-2</v>
      </c>
      <c r="H26" s="186" t="s">
        <v>537</v>
      </c>
      <c r="K26" s="434"/>
    </row>
    <row r="27" spans="1:16" s="84" customFormat="1" ht="15.75" x14ac:dyDescent="0.25">
      <c r="A27" s="659" t="s">
        <v>460</v>
      </c>
      <c r="B27" s="660"/>
      <c r="C27" s="181"/>
      <c r="D27" s="182"/>
      <c r="E27" s="661">
        <f>SUM(E28:E28)</f>
        <v>160000</v>
      </c>
      <c r="F27" s="130">
        <f>SUM(F28:F28)</f>
        <v>0</v>
      </c>
      <c r="G27" s="1021">
        <v>1</v>
      </c>
      <c r="H27" s="663"/>
      <c r="I27" s="206"/>
      <c r="L27" s="481"/>
      <c r="P27" s="206"/>
    </row>
    <row r="28" spans="1:16" s="670" customFormat="1" ht="30" x14ac:dyDescent="0.25">
      <c r="A28" s="190" t="s">
        <v>150</v>
      </c>
      <c r="B28" s="191">
        <v>80000</v>
      </c>
      <c r="C28" s="432">
        <v>2</v>
      </c>
      <c r="D28" s="433" t="s">
        <v>217</v>
      </c>
      <c r="E28" s="201">
        <f>+B28*C28</f>
        <v>160000</v>
      </c>
      <c r="F28" s="204">
        <v>0</v>
      </c>
      <c r="G28" s="977">
        <v>1</v>
      </c>
      <c r="H28" s="668" t="s">
        <v>598</v>
      </c>
      <c r="I28" s="669"/>
      <c r="J28" s="677"/>
      <c r="K28" s="678"/>
      <c r="L28" s="672"/>
      <c r="M28" s="678"/>
      <c r="N28" s="678"/>
      <c r="O28" s="672"/>
    </row>
    <row r="29" spans="1:16" ht="15.75" x14ac:dyDescent="0.2">
      <c r="A29" s="121" t="s">
        <v>277</v>
      </c>
      <c r="B29" s="131"/>
      <c r="C29" s="184"/>
      <c r="D29" s="185"/>
      <c r="E29" s="140">
        <f>+E30+E36</f>
        <v>32801000</v>
      </c>
      <c r="F29" s="221">
        <f>+F30+F36</f>
        <v>24933910</v>
      </c>
      <c r="G29" s="1021">
        <f>(E29-F29)/F29</f>
        <v>0.31551770259858963</v>
      </c>
      <c r="H29" s="134"/>
      <c r="K29" s="434"/>
    </row>
    <row r="30" spans="1:16" ht="15.75" x14ac:dyDescent="0.2">
      <c r="A30" s="227" t="s">
        <v>279</v>
      </c>
      <c r="B30" s="178"/>
      <c r="C30" s="478"/>
      <c r="D30" s="235"/>
      <c r="E30" s="479">
        <f>SUM(E31:E35)</f>
        <v>13523600</v>
      </c>
      <c r="F30" s="905">
        <f t="shared" ref="F30" si="7">SUM(F31:F35)</f>
        <v>0</v>
      </c>
      <c r="G30" s="1027">
        <v>1</v>
      </c>
      <c r="H30" s="480"/>
      <c r="K30" s="434"/>
    </row>
    <row r="31" spans="1:16" ht="60" x14ac:dyDescent="0.2">
      <c r="A31" s="126" t="s">
        <v>146</v>
      </c>
      <c r="B31" s="135">
        <v>700000</v>
      </c>
      <c r="C31" s="188">
        <v>5</v>
      </c>
      <c r="D31" s="120" t="s">
        <v>171</v>
      </c>
      <c r="E31" s="136">
        <f>+B31*C31</f>
        <v>3500000</v>
      </c>
      <c r="F31" s="123">
        <v>0</v>
      </c>
      <c r="G31" s="1022">
        <v>1</v>
      </c>
      <c r="H31" s="127" t="s">
        <v>599</v>
      </c>
      <c r="K31" s="434"/>
      <c r="M31" s="145"/>
      <c r="O31" s="145"/>
    </row>
    <row r="32" spans="1:16" ht="45" x14ac:dyDescent="0.2">
      <c r="A32" s="126" t="s">
        <v>280</v>
      </c>
      <c r="B32" s="135">
        <v>3000000</v>
      </c>
      <c r="C32" s="188">
        <v>1</v>
      </c>
      <c r="D32" s="120" t="s">
        <v>282</v>
      </c>
      <c r="E32" s="136">
        <f>+B32*C32</f>
        <v>3000000</v>
      </c>
      <c r="F32" s="123">
        <v>0</v>
      </c>
      <c r="G32" s="1022">
        <v>1</v>
      </c>
      <c r="H32" s="127" t="s">
        <v>468</v>
      </c>
      <c r="K32" s="434"/>
      <c r="M32" s="145"/>
      <c r="O32" s="145"/>
    </row>
    <row r="33" spans="1:15" ht="45" x14ac:dyDescent="0.2">
      <c r="A33" s="126" t="s">
        <v>600</v>
      </c>
      <c r="B33" s="135">
        <v>1500000</v>
      </c>
      <c r="C33" s="188">
        <v>1</v>
      </c>
      <c r="D33" s="120" t="s">
        <v>282</v>
      </c>
      <c r="E33" s="136">
        <f>+B33*C33</f>
        <v>1500000</v>
      </c>
      <c r="F33" s="123">
        <v>0</v>
      </c>
      <c r="G33" s="1022">
        <v>1</v>
      </c>
      <c r="H33" s="127" t="s">
        <v>538</v>
      </c>
      <c r="K33" s="434"/>
      <c r="M33" s="145"/>
      <c r="O33" s="145"/>
    </row>
    <row r="34" spans="1:15" ht="60" x14ac:dyDescent="0.2">
      <c r="A34" s="126" t="s">
        <v>147</v>
      </c>
      <c r="B34" s="135">
        <v>300300</v>
      </c>
      <c r="C34" s="188">
        <v>6</v>
      </c>
      <c r="D34" s="120" t="s">
        <v>147</v>
      </c>
      <c r="E34" s="136">
        <f>+B34*C34*2</f>
        <v>3603600</v>
      </c>
      <c r="F34" s="123">
        <v>0</v>
      </c>
      <c r="G34" s="1022">
        <v>1</v>
      </c>
      <c r="H34" s="127" t="s">
        <v>539</v>
      </c>
      <c r="K34" s="434"/>
      <c r="M34" s="145"/>
      <c r="O34" s="145"/>
    </row>
    <row r="35" spans="1:15" ht="45" x14ac:dyDescent="0.2">
      <c r="A35" s="126" t="s">
        <v>150</v>
      </c>
      <c r="B35" s="135">
        <v>8000</v>
      </c>
      <c r="C35" s="188">
        <v>8</v>
      </c>
      <c r="D35" s="120" t="s">
        <v>281</v>
      </c>
      <c r="E35" s="136">
        <f>+B35*C35*30</f>
        <v>1920000</v>
      </c>
      <c r="F35" s="123">
        <v>0</v>
      </c>
      <c r="G35" s="1022">
        <v>1</v>
      </c>
      <c r="H35" s="127" t="s">
        <v>601</v>
      </c>
      <c r="K35" s="434"/>
      <c r="M35" s="145"/>
      <c r="O35" s="145"/>
    </row>
    <row r="36" spans="1:15" ht="15.75" x14ac:dyDescent="0.2">
      <c r="A36" s="227" t="s">
        <v>278</v>
      </c>
      <c r="B36" s="178"/>
      <c r="C36" s="478"/>
      <c r="D36" s="235"/>
      <c r="E36" s="479">
        <f>SUM(E37:E40)</f>
        <v>19277400</v>
      </c>
      <c r="F36" s="905">
        <f>SUM(F37:F40)</f>
        <v>24933910</v>
      </c>
      <c r="G36" s="1027">
        <f>(E36-F36)/F36</f>
        <v>-0.22686012743288156</v>
      </c>
      <c r="H36" s="480"/>
      <c r="K36" s="434"/>
    </row>
    <row r="37" spans="1:15" ht="45" x14ac:dyDescent="0.2">
      <c r="A37" s="126" t="s">
        <v>146</v>
      </c>
      <c r="B37" s="135">
        <v>700000</v>
      </c>
      <c r="C37" s="188">
        <v>6</v>
      </c>
      <c r="D37" s="120" t="s">
        <v>171</v>
      </c>
      <c r="E37" s="136">
        <f>+B37*C37</f>
        <v>4200000</v>
      </c>
      <c r="F37" s="123">
        <v>6944092</v>
      </c>
      <c r="G37" s="1022">
        <f t="shared" si="2"/>
        <v>-0.39516930363249797</v>
      </c>
      <c r="H37" s="127" t="s">
        <v>540</v>
      </c>
      <c r="K37" s="434"/>
      <c r="M37" s="145"/>
      <c r="O37" s="145"/>
    </row>
    <row r="38" spans="1:15" ht="45" x14ac:dyDescent="0.2">
      <c r="A38" s="126" t="s">
        <v>147</v>
      </c>
      <c r="B38" s="135">
        <v>1100000</v>
      </c>
      <c r="C38" s="188">
        <v>6</v>
      </c>
      <c r="D38" s="120" t="s">
        <v>147</v>
      </c>
      <c r="E38" s="136">
        <f>+B38*C38</f>
        <v>6600000</v>
      </c>
      <c r="F38" s="123">
        <f>10084599+1000000</f>
        <v>11084599</v>
      </c>
      <c r="G38" s="1022">
        <f t="shared" ref="G38:G43" si="8">(E38-F38)/F38</f>
        <v>-0.40457927255645421</v>
      </c>
      <c r="H38" s="127" t="s">
        <v>541</v>
      </c>
      <c r="K38" s="434"/>
      <c r="M38" s="145"/>
      <c r="O38" s="145"/>
    </row>
    <row r="39" spans="1:15" ht="51" customHeight="1" x14ac:dyDescent="0.2">
      <c r="A39" s="126" t="s">
        <v>150</v>
      </c>
      <c r="B39" s="135">
        <v>680000</v>
      </c>
      <c r="C39" s="188">
        <v>6</v>
      </c>
      <c r="D39" s="120" t="s">
        <v>150</v>
      </c>
      <c r="E39" s="136">
        <f>+B39*C39</f>
        <v>4080000</v>
      </c>
      <c r="F39" s="123">
        <f>2805800+620819</f>
        <v>3426619</v>
      </c>
      <c r="G39" s="1022">
        <f t="shared" si="8"/>
        <v>0.19067804153306803</v>
      </c>
      <c r="H39" s="127" t="s">
        <v>602</v>
      </c>
      <c r="K39" s="434"/>
      <c r="M39" s="145"/>
      <c r="O39" s="145"/>
    </row>
    <row r="40" spans="1:15" ht="64.5" customHeight="1" x14ac:dyDescent="0.2">
      <c r="A40" s="126" t="s">
        <v>174</v>
      </c>
      <c r="B40" s="135">
        <f>ROUND((236000*3.5%)+236000,-2)</f>
        <v>244300</v>
      </c>
      <c r="C40" s="188">
        <v>18</v>
      </c>
      <c r="D40" s="120" t="s">
        <v>512</v>
      </c>
      <c r="E40" s="136">
        <f>+B40*C40</f>
        <v>4397400</v>
      </c>
      <c r="F40" s="123">
        <v>3478600</v>
      </c>
      <c r="G40" s="1022">
        <f t="shared" si="8"/>
        <v>0.26412924739837867</v>
      </c>
      <c r="H40" s="127" t="s">
        <v>603</v>
      </c>
      <c r="M40" s="145"/>
    </row>
    <row r="41" spans="1:15" ht="15.75" x14ac:dyDescent="0.2">
      <c r="A41" s="121" t="s">
        <v>154</v>
      </c>
      <c r="B41" s="131"/>
      <c r="C41" s="184"/>
      <c r="D41" s="185"/>
      <c r="E41" s="140">
        <f>+E42</f>
        <v>14000000</v>
      </c>
      <c r="F41" s="130">
        <f>+F42</f>
        <v>6500000</v>
      </c>
      <c r="G41" s="1021">
        <f t="shared" si="8"/>
        <v>1.1538461538461537</v>
      </c>
      <c r="H41" s="134"/>
      <c r="K41" s="434"/>
    </row>
    <row r="42" spans="1:15" ht="66.599999999999994" customHeight="1" thickBot="1" x14ac:dyDescent="0.25">
      <c r="A42" s="218" t="s">
        <v>52</v>
      </c>
      <c r="B42" s="179">
        <v>14000000</v>
      </c>
      <c r="C42" s="198">
        <v>1</v>
      </c>
      <c r="D42" s="199" t="s">
        <v>198</v>
      </c>
      <c r="E42" s="223">
        <f>+B42*C42</f>
        <v>14000000</v>
      </c>
      <c r="F42" s="224">
        <v>6500000</v>
      </c>
      <c r="G42" s="1030">
        <f t="shared" si="8"/>
        <v>1.1538461538461537</v>
      </c>
      <c r="H42" s="226" t="s">
        <v>604</v>
      </c>
      <c r="K42" s="434"/>
    </row>
    <row r="43" spans="1:15" ht="16.5" thickBot="1" x14ac:dyDescent="0.25">
      <c r="A43" s="207" t="s">
        <v>90</v>
      </c>
      <c r="B43" s="901"/>
      <c r="C43" s="902"/>
      <c r="D43" s="903"/>
      <c r="E43" s="906">
        <f>+E11+E5</f>
        <v>206671065.75</v>
      </c>
      <c r="F43" s="907">
        <f>+F11+F5</f>
        <v>175479596</v>
      </c>
      <c r="G43" s="1028">
        <f t="shared" si="8"/>
        <v>0.177749837935574</v>
      </c>
      <c r="H43" s="908"/>
      <c r="K43" s="434"/>
    </row>
    <row r="44" spans="1:15" ht="15.75" x14ac:dyDescent="0.2">
      <c r="A44" s="116"/>
      <c r="B44" s="116"/>
      <c r="C44" s="116"/>
      <c r="D44" s="116"/>
      <c r="E44" s="116"/>
      <c r="H44" s="116"/>
      <c r="M44" s="142"/>
    </row>
    <row r="45" spans="1:15" ht="15.75" x14ac:dyDescent="0.25">
      <c r="A45" s="86" t="s">
        <v>565</v>
      </c>
      <c r="B45" s="342"/>
      <c r="C45" s="343"/>
      <c r="D45" s="343"/>
      <c r="F45" s="1320"/>
      <c r="M45" s="142"/>
    </row>
    <row r="46" spans="1:15" ht="15.75" x14ac:dyDescent="0.2">
      <c r="A46" s="88" t="s">
        <v>85</v>
      </c>
      <c r="B46" s="344">
        <f>+'APROP 2019'!F49</f>
        <v>467899999.95888019</v>
      </c>
      <c r="C46" s="180">
        <f>+'INGRESOS RECAUDO 2019'!I9+'INGRESOS Intereses Mora'!C23</f>
        <v>4678999999.5888014</v>
      </c>
      <c r="D46" s="343"/>
      <c r="E46" s="89"/>
      <c r="H46" s="107"/>
      <c r="M46" s="142"/>
    </row>
    <row r="47" spans="1:15" x14ac:dyDescent="0.2">
      <c r="B47" s="528"/>
      <c r="C47" s="345"/>
      <c r="D47" s="343"/>
      <c r="M47" s="142"/>
    </row>
    <row r="48" spans="1:15" x14ac:dyDescent="0.2">
      <c r="B48" s="528"/>
      <c r="C48" s="345"/>
      <c r="D48" s="343"/>
      <c r="E48" s="89"/>
      <c r="F48" s="89"/>
      <c r="M48" s="142"/>
    </row>
    <row r="49" spans="2:13" x14ac:dyDescent="0.2">
      <c r="B49" s="107"/>
      <c r="D49" s="87"/>
      <c r="E49" s="89"/>
      <c r="M49" s="142"/>
    </row>
    <row r="50" spans="2:13" x14ac:dyDescent="0.2">
      <c r="H50" s="142"/>
      <c r="M50" s="142"/>
    </row>
    <row r="51" spans="2:13" hidden="1" x14ac:dyDescent="0.2">
      <c r="H51" s="142">
        <f>+E43</f>
        <v>206671065.75</v>
      </c>
    </row>
    <row r="52" spans="2:13" hidden="1" x14ac:dyDescent="0.2">
      <c r="H52" s="142" t="e">
        <f>+#REF!</f>
        <v>#REF!</v>
      </c>
    </row>
    <row r="53" spans="2:13" hidden="1" x14ac:dyDescent="0.2">
      <c r="H53" s="142" t="e">
        <f>+#REF!</f>
        <v>#REF!</v>
      </c>
    </row>
    <row r="54" spans="2:13" hidden="1" x14ac:dyDescent="0.2">
      <c r="H54" s="142" t="e">
        <f>+#REF!</f>
        <v>#REF!</v>
      </c>
    </row>
    <row r="55" spans="2:13" hidden="1" x14ac:dyDescent="0.2">
      <c r="H55" s="142" t="e">
        <f>+#REF!</f>
        <v>#REF!</v>
      </c>
    </row>
    <row r="56" spans="2:13" hidden="1" x14ac:dyDescent="0.2">
      <c r="H56" s="143" t="e">
        <f>+#REF!</f>
        <v>#REF!</v>
      </c>
    </row>
    <row r="57" spans="2:13" hidden="1" x14ac:dyDescent="0.2">
      <c r="H57" s="142" t="e">
        <f>SUM(H51:H56)</f>
        <v>#REF!</v>
      </c>
    </row>
    <row r="58" spans="2:13" hidden="1" x14ac:dyDescent="0.2">
      <c r="H58" s="144">
        <f>+H51*-1</f>
        <v>-206671065.75</v>
      </c>
    </row>
    <row r="59" spans="2:13" hidden="1" x14ac:dyDescent="0.2">
      <c r="H59" s="145" t="e">
        <f>+H57+H58</f>
        <v>#REF!</v>
      </c>
    </row>
    <row r="61" spans="2:13" x14ac:dyDescent="0.2">
      <c r="D61" s="137"/>
    </row>
  </sheetData>
  <mergeCells count="2">
    <mergeCell ref="A1:H1"/>
    <mergeCell ref="A2:H2"/>
  </mergeCells>
  <printOptions horizontalCentered="1"/>
  <pageMargins left="0.19685039370078741" right="0.19685039370078741" top="0.19685039370078741" bottom="0.19685039370078741" header="0.31496062992125984" footer="0.31496062992125984"/>
  <pageSetup scale="55"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9"/>
  <sheetViews>
    <sheetView showGridLines="0" view="pageBreakPreview" topLeftCell="A49" zoomScale="80" zoomScaleNormal="100" zoomScaleSheetLayoutView="80" workbookViewId="0">
      <selection activeCell="F13" sqref="F13:H15"/>
    </sheetView>
  </sheetViews>
  <sheetFormatPr baseColWidth="10" defaultColWidth="20.28515625" defaultRowHeight="15" x14ac:dyDescent="0.25"/>
  <cols>
    <col min="1" max="1" width="38" style="84" customWidth="1"/>
    <col min="2" max="2" width="15.140625" style="205" bestFit="1" customWidth="1"/>
    <col min="3" max="3" width="13.28515625" style="209" bestFit="1" customWidth="1"/>
    <col min="4" max="4" width="14.7109375" style="84" bestFit="1" customWidth="1"/>
    <col min="5" max="6" width="16.85546875" style="650" bestFit="1" customWidth="1"/>
    <col min="7" max="7" width="14" style="846" bestFit="1" customWidth="1"/>
    <col min="8" max="8" width="92.28515625" style="475" customWidth="1"/>
    <col min="9" max="9" width="20.140625" style="84" customWidth="1"/>
    <col min="10" max="10" width="20.28515625" style="84" customWidth="1"/>
    <col min="11" max="11" width="15" style="84" customWidth="1"/>
    <col min="12" max="15" width="20.28515625" style="84" customWidth="1"/>
    <col min="16" max="16" width="15" style="84" customWidth="1"/>
    <col min="17" max="253" width="20.28515625" style="84"/>
    <col min="254" max="254" width="45.28515625" style="84" bestFit="1" customWidth="1"/>
    <col min="255" max="255" width="0" style="84" hidden="1" customWidth="1"/>
    <col min="256" max="256" width="15" style="84" bestFit="1" customWidth="1"/>
    <col min="257" max="257" width="12.28515625" style="84" bestFit="1" customWidth="1"/>
    <col min="258" max="260" width="16.7109375" style="84" bestFit="1" customWidth="1"/>
    <col min="261" max="261" width="73.28515625" style="84" customWidth="1"/>
    <col min="262" max="509" width="20.28515625" style="84"/>
    <col min="510" max="510" width="45.28515625" style="84" bestFit="1" customWidth="1"/>
    <col min="511" max="511" width="0" style="84" hidden="1" customWidth="1"/>
    <col min="512" max="512" width="15" style="84" bestFit="1" customWidth="1"/>
    <col min="513" max="513" width="12.28515625" style="84" bestFit="1" customWidth="1"/>
    <col min="514" max="516" width="16.7109375" style="84" bestFit="1" customWidth="1"/>
    <col min="517" max="517" width="73.28515625" style="84" customWidth="1"/>
    <col min="518" max="765" width="20.28515625" style="84"/>
    <col min="766" max="766" width="45.28515625" style="84" bestFit="1" customWidth="1"/>
    <col min="767" max="767" width="0" style="84" hidden="1" customWidth="1"/>
    <col min="768" max="768" width="15" style="84" bestFit="1" customWidth="1"/>
    <col min="769" max="769" width="12.28515625" style="84" bestFit="1" customWidth="1"/>
    <col min="770" max="772" width="16.7109375" style="84" bestFit="1" customWidth="1"/>
    <col min="773" max="773" width="73.28515625" style="84" customWidth="1"/>
    <col min="774" max="1021" width="20.28515625" style="84"/>
    <col min="1022" max="1022" width="45.28515625" style="84" bestFit="1" customWidth="1"/>
    <col min="1023" max="1023" width="0" style="84" hidden="1" customWidth="1"/>
    <col min="1024" max="1024" width="15" style="84" bestFit="1" customWidth="1"/>
    <col min="1025" max="1025" width="12.28515625" style="84" bestFit="1" customWidth="1"/>
    <col min="1026" max="1028" width="16.7109375" style="84" bestFit="1" customWidth="1"/>
    <col min="1029" max="1029" width="73.28515625" style="84" customWidth="1"/>
    <col min="1030" max="1277" width="20.28515625" style="84"/>
    <col min="1278" max="1278" width="45.28515625" style="84" bestFit="1" customWidth="1"/>
    <col min="1279" max="1279" width="0" style="84" hidden="1" customWidth="1"/>
    <col min="1280" max="1280" width="15" style="84" bestFit="1" customWidth="1"/>
    <col min="1281" max="1281" width="12.28515625" style="84" bestFit="1" customWidth="1"/>
    <col min="1282" max="1284" width="16.7109375" style="84" bestFit="1" customWidth="1"/>
    <col min="1285" max="1285" width="73.28515625" style="84" customWidth="1"/>
    <col min="1286" max="1533" width="20.28515625" style="84"/>
    <col min="1534" max="1534" width="45.28515625" style="84" bestFit="1" customWidth="1"/>
    <col min="1535" max="1535" width="0" style="84" hidden="1" customWidth="1"/>
    <col min="1536" max="1536" width="15" style="84" bestFit="1" customWidth="1"/>
    <col min="1537" max="1537" width="12.28515625" style="84" bestFit="1" customWidth="1"/>
    <col min="1538" max="1540" width="16.7109375" style="84" bestFit="1" customWidth="1"/>
    <col min="1541" max="1541" width="73.28515625" style="84" customWidth="1"/>
    <col min="1542" max="1789" width="20.28515625" style="84"/>
    <col min="1790" max="1790" width="45.28515625" style="84" bestFit="1" customWidth="1"/>
    <col min="1791" max="1791" width="0" style="84" hidden="1" customWidth="1"/>
    <col min="1792" max="1792" width="15" style="84" bestFit="1" customWidth="1"/>
    <col min="1793" max="1793" width="12.28515625" style="84" bestFit="1" customWidth="1"/>
    <col min="1794" max="1796" width="16.7109375" style="84" bestFit="1" customWidth="1"/>
    <col min="1797" max="1797" width="73.28515625" style="84" customWidth="1"/>
    <col min="1798" max="2045" width="20.28515625" style="84"/>
    <col min="2046" max="2046" width="45.28515625" style="84" bestFit="1" customWidth="1"/>
    <col min="2047" max="2047" width="0" style="84" hidden="1" customWidth="1"/>
    <col min="2048" max="2048" width="15" style="84" bestFit="1" customWidth="1"/>
    <col min="2049" max="2049" width="12.28515625" style="84" bestFit="1" customWidth="1"/>
    <col min="2050" max="2052" width="16.7109375" style="84" bestFit="1" customWidth="1"/>
    <col min="2053" max="2053" width="73.28515625" style="84" customWidth="1"/>
    <col min="2054" max="2301" width="20.28515625" style="84"/>
    <col min="2302" max="2302" width="45.28515625" style="84" bestFit="1" customWidth="1"/>
    <col min="2303" max="2303" width="0" style="84" hidden="1" customWidth="1"/>
    <col min="2304" max="2304" width="15" style="84" bestFit="1" customWidth="1"/>
    <col min="2305" max="2305" width="12.28515625" style="84" bestFit="1" customWidth="1"/>
    <col min="2306" max="2308" width="16.7109375" style="84" bestFit="1" customWidth="1"/>
    <col min="2309" max="2309" width="73.28515625" style="84" customWidth="1"/>
    <col min="2310" max="2557" width="20.28515625" style="84"/>
    <col min="2558" max="2558" width="45.28515625" style="84" bestFit="1" customWidth="1"/>
    <col min="2559" max="2559" width="0" style="84" hidden="1" customWidth="1"/>
    <col min="2560" max="2560" width="15" style="84" bestFit="1" customWidth="1"/>
    <col min="2561" max="2561" width="12.28515625" style="84" bestFit="1" customWidth="1"/>
    <col min="2562" max="2564" width="16.7109375" style="84" bestFit="1" customWidth="1"/>
    <col min="2565" max="2565" width="73.28515625" style="84" customWidth="1"/>
    <col min="2566" max="2813" width="20.28515625" style="84"/>
    <col min="2814" max="2814" width="45.28515625" style="84" bestFit="1" customWidth="1"/>
    <col min="2815" max="2815" width="0" style="84" hidden="1" customWidth="1"/>
    <col min="2816" max="2816" width="15" style="84" bestFit="1" customWidth="1"/>
    <col min="2817" max="2817" width="12.28515625" style="84" bestFit="1" customWidth="1"/>
    <col min="2818" max="2820" width="16.7109375" style="84" bestFit="1" customWidth="1"/>
    <col min="2821" max="2821" width="73.28515625" style="84" customWidth="1"/>
    <col min="2822" max="3069" width="20.28515625" style="84"/>
    <col min="3070" max="3070" width="45.28515625" style="84" bestFit="1" customWidth="1"/>
    <col min="3071" max="3071" width="0" style="84" hidden="1" customWidth="1"/>
    <col min="3072" max="3072" width="15" style="84" bestFit="1" customWidth="1"/>
    <col min="3073" max="3073" width="12.28515625" style="84" bestFit="1" customWidth="1"/>
    <col min="3074" max="3076" width="16.7109375" style="84" bestFit="1" customWidth="1"/>
    <col min="3077" max="3077" width="73.28515625" style="84" customWidth="1"/>
    <col min="3078" max="3325" width="20.28515625" style="84"/>
    <col min="3326" max="3326" width="45.28515625" style="84" bestFit="1" customWidth="1"/>
    <col min="3327" max="3327" width="0" style="84" hidden="1" customWidth="1"/>
    <col min="3328" max="3328" width="15" style="84" bestFit="1" customWidth="1"/>
    <col min="3329" max="3329" width="12.28515625" style="84" bestFit="1" customWidth="1"/>
    <col min="3330" max="3332" width="16.7109375" style="84" bestFit="1" customWidth="1"/>
    <col min="3333" max="3333" width="73.28515625" style="84" customWidth="1"/>
    <col min="3334" max="3581" width="20.28515625" style="84"/>
    <col min="3582" max="3582" width="45.28515625" style="84" bestFit="1" customWidth="1"/>
    <col min="3583" max="3583" width="0" style="84" hidden="1" customWidth="1"/>
    <col min="3584" max="3584" width="15" style="84" bestFit="1" customWidth="1"/>
    <col min="3585" max="3585" width="12.28515625" style="84" bestFit="1" customWidth="1"/>
    <col min="3586" max="3588" width="16.7109375" style="84" bestFit="1" customWidth="1"/>
    <col min="3589" max="3589" width="73.28515625" style="84" customWidth="1"/>
    <col min="3590" max="3837" width="20.28515625" style="84"/>
    <col min="3838" max="3838" width="45.28515625" style="84" bestFit="1" customWidth="1"/>
    <col min="3839" max="3839" width="0" style="84" hidden="1" customWidth="1"/>
    <col min="3840" max="3840" width="15" style="84" bestFit="1" customWidth="1"/>
    <col min="3841" max="3841" width="12.28515625" style="84" bestFit="1" customWidth="1"/>
    <col min="3842" max="3844" width="16.7109375" style="84" bestFit="1" customWidth="1"/>
    <col min="3845" max="3845" width="73.28515625" style="84" customWidth="1"/>
    <col min="3846" max="4093" width="20.28515625" style="84"/>
    <col min="4094" max="4094" width="45.28515625" style="84" bestFit="1" customWidth="1"/>
    <col min="4095" max="4095" width="0" style="84" hidden="1" customWidth="1"/>
    <col min="4096" max="4096" width="15" style="84" bestFit="1" customWidth="1"/>
    <col min="4097" max="4097" width="12.28515625" style="84" bestFit="1" customWidth="1"/>
    <col min="4098" max="4100" width="16.7109375" style="84" bestFit="1" customWidth="1"/>
    <col min="4101" max="4101" width="73.28515625" style="84" customWidth="1"/>
    <col min="4102" max="4349" width="20.28515625" style="84"/>
    <col min="4350" max="4350" width="45.28515625" style="84" bestFit="1" customWidth="1"/>
    <col min="4351" max="4351" width="0" style="84" hidden="1" customWidth="1"/>
    <col min="4352" max="4352" width="15" style="84" bestFit="1" customWidth="1"/>
    <col min="4353" max="4353" width="12.28515625" style="84" bestFit="1" customWidth="1"/>
    <col min="4354" max="4356" width="16.7109375" style="84" bestFit="1" customWidth="1"/>
    <col min="4357" max="4357" width="73.28515625" style="84" customWidth="1"/>
    <col min="4358" max="4605" width="20.28515625" style="84"/>
    <col min="4606" max="4606" width="45.28515625" style="84" bestFit="1" customWidth="1"/>
    <col min="4607" max="4607" width="0" style="84" hidden="1" customWidth="1"/>
    <col min="4608" max="4608" width="15" style="84" bestFit="1" customWidth="1"/>
    <col min="4609" max="4609" width="12.28515625" style="84" bestFit="1" customWidth="1"/>
    <col min="4610" max="4612" width="16.7109375" style="84" bestFit="1" customWidth="1"/>
    <col min="4613" max="4613" width="73.28515625" style="84" customWidth="1"/>
    <col min="4614" max="4861" width="20.28515625" style="84"/>
    <col min="4862" max="4862" width="45.28515625" style="84" bestFit="1" customWidth="1"/>
    <col min="4863" max="4863" width="0" style="84" hidden="1" customWidth="1"/>
    <col min="4864" max="4864" width="15" style="84" bestFit="1" customWidth="1"/>
    <col min="4865" max="4865" width="12.28515625" style="84" bestFit="1" customWidth="1"/>
    <col min="4866" max="4868" width="16.7109375" style="84" bestFit="1" customWidth="1"/>
    <col min="4869" max="4869" width="73.28515625" style="84" customWidth="1"/>
    <col min="4870" max="5117" width="20.28515625" style="84"/>
    <col min="5118" max="5118" width="45.28515625" style="84" bestFit="1" customWidth="1"/>
    <col min="5119" max="5119" width="0" style="84" hidden="1" customWidth="1"/>
    <col min="5120" max="5120" width="15" style="84" bestFit="1" customWidth="1"/>
    <col min="5121" max="5121" width="12.28515625" style="84" bestFit="1" customWidth="1"/>
    <col min="5122" max="5124" width="16.7109375" style="84" bestFit="1" customWidth="1"/>
    <col min="5125" max="5125" width="73.28515625" style="84" customWidth="1"/>
    <col min="5126" max="5373" width="20.28515625" style="84"/>
    <col min="5374" max="5374" width="45.28515625" style="84" bestFit="1" customWidth="1"/>
    <col min="5375" max="5375" width="0" style="84" hidden="1" customWidth="1"/>
    <col min="5376" max="5376" width="15" style="84" bestFit="1" customWidth="1"/>
    <col min="5377" max="5377" width="12.28515625" style="84" bestFit="1" customWidth="1"/>
    <col min="5378" max="5380" width="16.7109375" style="84" bestFit="1" customWidth="1"/>
    <col min="5381" max="5381" width="73.28515625" style="84" customWidth="1"/>
    <col min="5382" max="5629" width="20.28515625" style="84"/>
    <col min="5630" max="5630" width="45.28515625" style="84" bestFit="1" customWidth="1"/>
    <col min="5631" max="5631" width="0" style="84" hidden="1" customWidth="1"/>
    <col min="5632" max="5632" width="15" style="84" bestFit="1" customWidth="1"/>
    <col min="5633" max="5633" width="12.28515625" style="84" bestFit="1" customWidth="1"/>
    <col min="5634" max="5636" width="16.7109375" style="84" bestFit="1" customWidth="1"/>
    <col min="5637" max="5637" width="73.28515625" style="84" customWidth="1"/>
    <col min="5638" max="5885" width="20.28515625" style="84"/>
    <col min="5886" max="5886" width="45.28515625" style="84" bestFit="1" customWidth="1"/>
    <col min="5887" max="5887" width="0" style="84" hidden="1" customWidth="1"/>
    <col min="5888" max="5888" width="15" style="84" bestFit="1" customWidth="1"/>
    <col min="5889" max="5889" width="12.28515625" style="84" bestFit="1" customWidth="1"/>
    <col min="5890" max="5892" width="16.7109375" style="84" bestFit="1" customWidth="1"/>
    <col min="5893" max="5893" width="73.28515625" style="84" customWidth="1"/>
    <col min="5894" max="6141" width="20.28515625" style="84"/>
    <col min="6142" max="6142" width="45.28515625" style="84" bestFit="1" customWidth="1"/>
    <col min="6143" max="6143" width="0" style="84" hidden="1" customWidth="1"/>
    <col min="6144" max="6144" width="15" style="84" bestFit="1" customWidth="1"/>
    <col min="6145" max="6145" width="12.28515625" style="84" bestFit="1" customWidth="1"/>
    <col min="6146" max="6148" width="16.7109375" style="84" bestFit="1" customWidth="1"/>
    <col min="6149" max="6149" width="73.28515625" style="84" customWidth="1"/>
    <col min="6150" max="6397" width="20.28515625" style="84"/>
    <col min="6398" max="6398" width="45.28515625" style="84" bestFit="1" customWidth="1"/>
    <col min="6399" max="6399" width="0" style="84" hidden="1" customWidth="1"/>
    <col min="6400" max="6400" width="15" style="84" bestFit="1" customWidth="1"/>
    <col min="6401" max="6401" width="12.28515625" style="84" bestFit="1" customWidth="1"/>
    <col min="6402" max="6404" width="16.7109375" style="84" bestFit="1" customWidth="1"/>
    <col min="6405" max="6405" width="73.28515625" style="84" customWidth="1"/>
    <col min="6406" max="6653" width="20.28515625" style="84"/>
    <col min="6654" max="6654" width="45.28515625" style="84" bestFit="1" customWidth="1"/>
    <col min="6655" max="6655" width="0" style="84" hidden="1" customWidth="1"/>
    <col min="6656" max="6656" width="15" style="84" bestFit="1" customWidth="1"/>
    <col min="6657" max="6657" width="12.28515625" style="84" bestFit="1" customWidth="1"/>
    <col min="6658" max="6660" width="16.7109375" style="84" bestFit="1" customWidth="1"/>
    <col min="6661" max="6661" width="73.28515625" style="84" customWidth="1"/>
    <col min="6662" max="6909" width="20.28515625" style="84"/>
    <col min="6910" max="6910" width="45.28515625" style="84" bestFit="1" customWidth="1"/>
    <col min="6911" max="6911" width="0" style="84" hidden="1" customWidth="1"/>
    <col min="6912" max="6912" width="15" style="84" bestFit="1" customWidth="1"/>
    <col min="6913" max="6913" width="12.28515625" style="84" bestFit="1" customWidth="1"/>
    <col min="6914" max="6916" width="16.7109375" style="84" bestFit="1" customWidth="1"/>
    <col min="6917" max="6917" width="73.28515625" style="84" customWidth="1"/>
    <col min="6918" max="7165" width="20.28515625" style="84"/>
    <col min="7166" max="7166" width="45.28515625" style="84" bestFit="1" customWidth="1"/>
    <col min="7167" max="7167" width="0" style="84" hidden="1" customWidth="1"/>
    <col min="7168" max="7168" width="15" style="84" bestFit="1" customWidth="1"/>
    <col min="7169" max="7169" width="12.28515625" style="84" bestFit="1" customWidth="1"/>
    <col min="7170" max="7172" width="16.7109375" style="84" bestFit="1" customWidth="1"/>
    <col min="7173" max="7173" width="73.28515625" style="84" customWidth="1"/>
    <col min="7174" max="7421" width="20.28515625" style="84"/>
    <col min="7422" max="7422" width="45.28515625" style="84" bestFit="1" customWidth="1"/>
    <col min="7423" max="7423" width="0" style="84" hidden="1" customWidth="1"/>
    <col min="7424" max="7424" width="15" style="84" bestFit="1" customWidth="1"/>
    <col min="7425" max="7425" width="12.28515625" style="84" bestFit="1" customWidth="1"/>
    <col min="7426" max="7428" width="16.7109375" style="84" bestFit="1" customWidth="1"/>
    <col min="7429" max="7429" width="73.28515625" style="84" customWidth="1"/>
    <col min="7430" max="7677" width="20.28515625" style="84"/>
    <col min="7678" max="7678" width="45.28515625" style="84" bestFit="1" customWidth="1"/>
    <col min="7679" max="7679" width="0" style="84" hidden="1" customWidth="1"/>
    <col min="7680" max="7680" width="15" style="84" bestFit="1" customWidth="1"/>
    <col min="7681" max="7681" width="12.28515625" style="84" bestFit="1" customWidth="1"/>
    <col min="7682" max="7684" width="16.7109375" style="84" bestFit="1" customWidth="1"/>
    <col min="7685" max="7685" width="73.28515625" style="84" customWidth="1"/>
    <col min="7686" max="7933" width="20.28515625" style="84"/>
    <col min="7934" max="7934" width="45.28515625" style="84" bestFit="1" customWidth="1"/>
    <col min="7935" max="7935" width="0" style="84" hidden="1" customWidth="1"/>
    <col min="7936" max="7936" width="15" style="84" bestFit="1" customWidth="1"/>
    <col min="7937" max="7937" width="12.28515625" style="84" bestFit="1" customWidth="1"/>
    <col min="7938" max="7940" width="16.7109375" style="84" bestFit="1" customWidth="1"/>
    <col min="7941" max="7941" width="73.28515625" style="84" customWidth="1"/>
    <col min="7942" max="8189" width="20.28515625" style="84"/>
    <col min="8190" max="8190" width="45.28515625" style="84" bestFit="1" customWidth="1"/>
    <col min="8191" max="8191" width="0" style="84" hidden="1" customWidth="1"/>
    <col min="8192" max="8192" width="15" style="84" bestFit="1" customWidth="1"/>
    <col min="8193" max="8193" width="12.28515625" style="84" bestFit="1" customWidth="1"/>
    <col min="8194" max="8196" width="16.7109375" style="84" bestFit="1" customWidth="1"/>
    <col min="8197" max="8197" width="73.28515625" style="84" customWidth="1"/>
    <col min="8198" max="8445" width="20.28515625" style="84"/>
    <col min="8446" max="8446" width="45.28515625" style="84" bestFit="1" customWidth="1"/>
    <col min="8447" max="8447" width="0" style="84" hidden="1" customWidth="1"/>
    <col min="8448" max="8448" width="15" style="84" bestFit="1" customWidth="1"/>
    <col min="8449" max="8449" width="12.28515625" style="84" bestFit="1" customWidth="1"/>
    <col min="8450" max="8452" width="16.7109375" style="84" bestFit="1" customWidth="1"/>
    <col min="8453" max="8453" width="73.28515625" style="84" customWidth="1"/>
    <col min="8454" max="8701" width="20.28515625" style="84"/>
    <col min="8702" max="8702" width="45.28515625" style="84" bestFit="1" customWidth="1"/>
    <col min="8703" max="8703" width="0" style="84" hidden="1" customWidth="1"/>
    <col min="8704" max="8704" width="15" style="84" bestFit="1" customWidth="1"/>
    <col min="8705" max="8705" width="12.28515625" style="84" bestFit="1" customWidth="1"/>
    <col min="8706" max="8708" width="16.7109375" style="84" bestFit="1" customWidth="1"/>
    <col min="8709" max="8709" width="73.28515625" style="84" customWidth="1"/>
    <col min="8710" max="8957" width="20.28515625" style="84"/>
    <col min="8958" max="8958" width="45.28515625" style="84" bestFit="1" customWidth="1"/>
    <col min="8959" max="8959" width="0" style="84" hidden="1" customWidth="1"/>
    <col min="8960" max="8960" width="15" style="84" bestFit="1" customWidth="1"/>
    <col min="8961" max="8961" width="12.28515625" style="84" bestFit="1" customWidth="1"/>
    <col min="8962" max="8964" width="16.7109375" style="84" bestFit="1" customWidth="1"/>
    <col min="8965" max="8965" width="73.28515625" style="84" customWidth="1"/>
    <col min="8966" max="9213" width="20.28515625" style="84"/>
    <col min="9214" max="9214" width="45.28515625" style="84" bestFit="1" customWidth="1"/>
    <col min="9215" max="9215" width="0" style="84" hidden="1" customWidth="1"/>
    <col min="9216" max="9216" width="15" style="84" bestFit="1" customWidth="1"/>
    <col min="9217" max="9217" width="12.28515625" style="84" bestFit="1" customWidth="1"/>
    <col min="9218" max="9220" width="16.7109375" style="84" bestFit="1" customWidth="1"/>
    <col min="9221" max="9221" width="73.28515625" style="84" customWidth="1"/>
    <col min="9222" max="9469" width="20.28515625" style="84"/>
    <col min="9470" max="9470" width="45.28515625" style="84" bestFit="1" customWidth="1"/>
    <col min="9471" max="9471" width="0" style="84" hidden="1" customWidth="1"/>
    <col min="9472" max="9472" width="15" style="84" bestFit="1" customWidth="1"/>
    <col min="9473" max="9473" width="12.28515625" style="84" bestFit="1" customWidth="1"/>
    <col min="9474" max="9476" width="16.7109375" style="84" bestFit="1" customWidth="1"/>
    <col min="9477" max="9477" width="73.28515625" style="84" customWidth="1"/>
    <col min="9478" max="9725" width="20.28515625" style="84"/>
    <col min="9726" max="9726" width="45.28515625" style="84" bestFit="1" customWidth="1"/>
    <col min="9727" max="9727" width="0" style="84" hidden="1" customWidth="1"/>
    <col min="9728" max="9728" width="15" style="84" bestFit="1" customWidth="1"/>
    <col min="9729" max="9729" width="12.28515625" style="84" bestFit="1" customWidth="1"/>
    <col min="9730" max="9732" width="16.7109375" style="84" bestFit="1" customWidth="1"/>
    <col min="9733" max="9733" width="73.28515625" style="84" customWidth="1"/>
    <col min="9734" max="9981" width="20.28515625" style="84"/>
    <col min="9982" max="9982" width="45.28515625" style="84" bestFit="1" customWidth="1"/>
    <col min="9983" max="9983" width="0" style="84" hidden="1" customWidth="1"/>
    <col min="9984" max="9984" width="15" style="84" bestFit="1" customWidth="1"/>
    <col min="9985" max="9985" width="12.28515625" style="84" bestFit="1" customWidth="1"/>
    <col min="9986" max="9988" width="16.7109375" style="84" bestFit="1" customWidth="1"/>
    <col min="9989" max="9989" width="73.28515625" style="84" customWidth="1"/>
    <col min="9990" max="10237" width="20.28515625" style="84"/>
    <col min="10238" max="10238" width="45.28515625" style="84" bestFit="1" customWidth="1"/>
    <col min="10239" max="10239" width="0" style="84" hidden="1" customWidth="1"/>
    <col min="10240" max="10240" width="15" style="84" bestFit="1" customWidth="1"/>
    <col min="10241" max="10241" width="12.28515625" style="84" bestFit="1" customWidth="1"/>
    <col min="10242" max="10244" width="16.7109375" style="84" bestFit="1" customWidth="1"/>
    <col min="10245" max="10245" width="73.28515625" style="84" customWidth="1"/>
    <col min="10246" max="10493" width="20.28515625" style="84"/>
    <col min="10494" max="10494" width="45.28515625" style="84" bestFit="1" customWidth="1"/>
    <col min="10495" max="10495" width="0" style="84" hidden="1" customWidth="1"/>
    <col min="10496" max="10496" width="15" style="84" bestFit="1" customWidth="1"/>
    <col min="10497" max="10497" width="12.28515625" style="84" bestFit="1" customWidth="1"/>
    <col min="10498" max="10500" width="16.7109375" style="84" bestFit="1" customWidth="1"/>
    <col min="10501" max="10501" width="73.28515625" style="84" customWidth="1"/>
    <col min="10502" max="10749" width="20.28515625" style="84"/>
    <col min="10750" max="10750" width="45.28515625" style="84" bestFit="1" customWidth="1"/>
    <col min="10751" max="10751" width="0" style="84" hidden="1" customWidth="1"/>
    <col min="10752" max="10752" width="15" style="84" bestFit="1" customWidth="1"/>
    <col min="10753" max="10753" width="12.28515625" style="84" bestFit="1" customWidth="1"/>
    <col min="10754" max="10756" width="16.7109375" style="84" bestFit="1" customWidth="1"/>
    <col min="10757" max="10757" width="73.28515625" style="84" customWidth="1"/>
    <col min="10758" max="11005" width="20.28515625" style="84"/>
    <col min="11006" max="11006" width="45.28515625" style="84" bestFit="1" customWidth="1"/>
    <col min="11007" max="11007" width="0" style="84" hidden="1" customWidth="1"/>
    <col min="11008" max="11008" width="15" style="84" bestFit="1" customWidth="1"/>
    <col min="11009" max="11009" width="12.28515625" style="84" bestFit="1" customWidth="1"/>
    <col min="11010" max="11012" width="16.7109375" style="84" bestFit="1" customWidth="1"/>
    <col min="11013" max="11013" width="73.28515625" style="84" customWidth="1"/>
    <col min="11014" max="11261" width="20.28515625" style="84"/>
    <col min="11262" max="11262" width="45.28515625" style="84" bestFit="1" customWidth="1"/>
    <col min="11263" max="11263" width="0" style="84" hidden="1" customWidth="1"/>
    <col min="11264" max="11264" width="15" style="84" bestFit="1" customWidth="1"/>
    <col min="11265" max="11265" width="12.28515625" style="84" bestFit="1" customWidth="1"/>
    <col min="11266" max="11268" width="16.7109375" style="84" bestFit="1" customWidth="1"/>
    <col min="11269" max="11269" width="73.28515625" style="84" customWidth="1"/>
    <col min="11270" max="11517" width="20.28515625" style="84"/>
    <col min="11518" max="11518" width="45.28515625" style="84" bestFit="1" customWidth="1"/>
    <col min="11519" max="11519" width="0" style="84" hidden="1" customWidth="1"/>
    <col min="11520" max="11520" width="15" style="84" bestFit="1" customWidth="1"/>
    <col min="11521" max="11521" width="12.28515625" style="84" bestFit="1" customWidth="1"/>
    <col min="11522" max="11524" width="16.7109375" style="84" bestFit="1" customWidth="1"/>
    <col min="11525" max="11525" width="73.28515625" style="84" customWidth="1"/>
    <col min="11526" max="11773" width="20.28515625" style="84"/>
    <col min="11774" max="11774" width="45.28515625" style="84" bestFit="1" customWidth="1"/>
    <col min="11775" max="11775" width="0" style="84" hidden="1" customWidth="1"/>
    <col min="11776" max="11776" width="15" style="84" bestFit="1" customWidth="1"/>
    <col min="11777" max="11777" width="12.28515625" style="84" bestFit="1" customWidth="1"/>
    <col min="11778" max="11780" width="16.7109375" style="84" bestFit="1" customWidth="1"/>
    <col min="11781" max="11781" width="73.28515625" style="84" customWidth="1"/>
    <col min="11782" max="12029" width="20.28515625" style="84"/>
    <col min="12030" max="12030" width="45.28515625" style="84" bestFit="1" customWidth="1"/>
    <col min="12031" max="12031" width="0" style="84" hidden="1" customWidth="1"/>
    <col min="12032" max="12032" width="15" style="84" bestFit="1" customWidth="1"/>
    <col min="12033" max="12033" width="12.28515625" style="84" bestFit="1" customWidth="1"/>
    <col min="12034" max="12036" width="16.7109375" style="84" bestFit="1" customWidth="1"/>
    <col min="12037" max="12037" width="73.28515625" style="84" customWidth="1"/>
    <col min="12038" max="12285" width="20.28515625" style="84"/>
    <col min="12286" max="12286" width="45.28515625" style="84" bestFit="1" customWidth="1"/>
    <col min="12287" max="12287" width="0" style="84" hidden="1" customWidth="1"/>
    <col min="12288" max="12288" width="15" style="84" bestFit="1" customWidth="1"/>
    <col min="12289" max="12289" width="12.28515625" style="84" bestFit="1" customWidth="1"/>
    <col min="12290" max="12292" width="16.7109375" style="84" bestFit="1" customWidth="1"/>
    <col min="12293" max="12293" width="73.28515625" style="84" customWidth="1"/>
    <col min="12294" max="12541" width="20.28515625" style="84"/>
    <col min="12542" max="12542" width="45.28515625" style="84" bestFit="1" customWidth="1"/>
    <col min="12543" max="12543" width="0" style="84" hidden="1" customWidth="1"/>
    <col min="12544" max="12544" width="15" style="84" bestFit="1" customWidth="1"/>
    <col min="12545" max="12545" width="12.28515625" style="84" bestFit="1" customWidth="1"/>
    <col min="12546" max="12548" width="16.7109375" style="84" bestFit="1" customWidth="1"/>
    <col min="12549" max="12549" width="73.28515625" style="84" customWidth="1"/>
    <col min="12550" max="12797" width="20.28515625" style="84"/>
    <col min="12798" max="12798" width="45.28515625" style="84" bestFit="1" customWidth="1"/>
    <col min="12799" max="12799" width="0" style="84" hidden="1" customWidth="1"/>
    <col min="12800" max="12800" width="15" style="84" bestFit="1" customWidth="1"/>
    <col min="12801" max="12801" width="12.28515625" style="84" bestFit="1" customWidth="1"/>
    <col min="12802" max="12804" width="16.7109375" style="84" bestFit="1" customWidth="1"/>
    <col min="12805" max="12805" width="73.28515625" style="84" customWidth="1"/>
    <col min="12806" max="13053" width="20.28515625" style="84"/>
    <col min="13054" max="13054" width="45.28515625" style="84" bestFit="1" customWidth="1"/>
    <col min="13055" max="13055" width="0" style="84" hidden="1" customWidth="1"/>
    <col min="13056" max="13056" width="15" style="84" bestFit="1" customWidth="1"/>
    <col min="13057" max="13057" width="12.28515625" style="84" bestFit="1" customWidth="1"/>
    <col min="13058" max="13060" width="16.7109375" style="84" bestFit="1" customWidth="1"/>
    <col min="13061" max="13061" width="73.28515625" style="84" customWidth="1"/>
    <col min="13062" max="13309" width="20.28515625" style="84"/>
    <col min="13310" max="13310" width="45.28515625" style="84" bestFit="1" customWidth="1"/>
    <col min="13311" max="13311" width="0" style="84" hidden="1" customWidth="1"/>
    <col min="13312" max="13312" width="15" style="84" bestFit="1" customWidth="1"/>
    <col min="13313" max="13313" width="12.28515625" style="84" bestFit="1" customWidth="1"/>
    <col min="13314" max="13316" width="16.7109375" style="84" bestFit="1" customWidth="1"/>
    <col min="13317" max="13317" width="73.28515625" style="84" customWidth="1"/>
    <col min="13318" max="13565" width="20.28515625" style="84"/>
    <col min="13566" max="13566" width="45.28515625" style="84" bestFit="1" customWidth="1"/>
    <col min="13567" max="13567" width="0" style="84" hidden="1" customWidth="1"/>
    <col min="13568" max="13568" width="15" style="84" bestFit="1" customWidth="1"/>
    <col min="13569" max="13569" width="12.28515625" style="84" bestFit="1" customWidth="1"/>
    <col min="13570" max="13572" width="16.7109375" style="84" bestFit="1" customWidth="1"/>
    <col min="13573" max="13573" width="73.28515625" style="84" customWidth="1"/>
    <col min="13574" max="13821" width="20.28515625" style="84"/>
    <col min="13822" max="13822" width="45.28515625" style="84" bestFit="1" customWidth="1"/>
    <col min="13823" max="13823" width="0" style="84" hidden="1" customWidth="1"/>
    <col min="13824" max="13824" width="15" style="84" bestFit="1" customWidth="1"/>
    <col min="13825" max="13825" width="12.28515625" style="84" bestFit="1" customWidth="1"/>
    <col min="13826" max="13828" width="16.7109375" style="84" bestFit="1" customWidth="1"/>
    <col min="13829" max="13829" width="73.28515625" style="84" customWidth="1"/>
    <col min="13830" max="14077" width="20.28515625" style="84"/>
    <col min="14078" max="14078" width="45.28515625" style="84" bestFit="1" customWidth="1"/>
    <col min="14079" max="14079" width="0" style="84" hidden="1" customWidth="1"/>
    <col min="14080" max="14080" width="15" style="84" bestFit="1" customWidth="1"/>
    <col min="14081" max="14081" width="12.28515625" style="84" bestFit="1" customWidth="1"/>
    <col min="14082" max="14084" width="16.7109375" style="84" bestFit="1" customWidth="1"/>
    <col min="14085" max="14085" width="73.28515625" style="84" customWidth="1"/>
    <col min="14086" max="14333" width="20.28515625" style="84"/>
    <col min="14334" max="14334" width="45.28515625" style="84" bestFit="1" customWidth="1"/>
    <col min="14335" max="14335" width="0" style="84" hidden="1" customWidth="1"/>
    <col min="14336" max="14336" width="15" style="84" bestFit="1" customWidth="1"/>
    <col min="14337" max="14337" width="12.28515625" style="84" bestFit="1" customWidth="1"/>
    <col min="14338" max="14340" width="16.7109375" style="84" bestFit="1" customWidth="1"/>
    <col min="14341" max="14341" width="73.28515625" style="84" customWidth="1"/>
    <col min="14342" max="14589" width="20.28515625" style="84"/>
    <col min="14590" max="14590" width="45.28515625" style="84" bestFit="1" customWidth="1"/>
    <col min="14591" max="14591" width="0" style="84" hidden="1" customWidth="1"/>
    <col min="14592" max="14592" width="15" style="84" bestFit="1" customWidth="1"/>
    <col min="14593" max="14593" width="12.28515625" style="84" bestFit="1" customWidth="1"/>
    <col min="14594" max="14596" width="16.7109375" style="84" bestFit="1" customWidth="1"/>
    <col min="14597" max="14597" width="73.28515625" style="84" customWidth="1"/>
    <col min="14598" max="14845" width="20.28515625" style="84"/>
    <col min="14846" max="14846" width="45.28515625" style="84" bestFit="1" customWidth="1"/>
    <col min="14847" max="14847" width="0" style="84" hidden="1" customWidth="1"/>
    <col min="14848" max="14848" width="15" style="84" bestFit="1" customWidth="1"/>
    <col min="14849" max="14849" width="12.28515625" style="84" bestFit="1" customWidth="1"/>
    <col min="14850" max="14852" width="16.7109375" style="84" bestFit="1" customWidth="1"/>
    <col min="14853" max="14853" width="73.28515625" style="84" customWidth="1"/>
    <col min="14854" max="15101" width="20.28515625" style="84"/>
    <col min="15102" max="15102" width="45.28515625" style="84" bestFit="1" customWidth="1"/>
    <col min="15103" max="15103" width="0" style="84" hidden="1" customWidth="1"/>
    <col min="15104" max="15104" width="15" style="84" bestFit="1" customWidth="1"/>
    <col min="15105" max="15105" width="12.28515625" style="84" bestFit="1" customWidth="1"/>
    <col min="15106" max="15108" width="16.7109375" style="84" bestFit="1" customWidth="1"/>
    <col min="15109" max="15109" width="73.28515625" style="84" customWidth="1"/>
    <col min="15110" max="15357" width="20.28515625" style="84"/>
    <col min="15358" max="15358" width="45.28515625" style="84" bestFit="1" customWidth="1"/>
    <col min="15359" max="15359" width="0" style="84" hidden="1" customWidth="1"/>
    <col min="15360" max="15360" width="15" style="84" bestFit="1" customWidth="1"/>
    <col min="15361" max="15361" width="12.28515625" style="84" bestFit="1" customWidth="1"/>
    <col min="15362" max="15364" width="16.7109375" style="84" bestFit="1" customWidth="1"/>
    <col min="15365" max="15365" width="73.28515625" style="84" customWidth="1"/>
    <col min="15366" max="15613" width="20.28515625" style="84"/>
    <col min="15614" max="15614" width="45.28515625" style="84" bestFit="1" customWidth="1"/>
    <col min="15615" max="15615" width="0" style="84" hidden="1" customWidth="1"/>
    <col min="15616" max="15616" width="15" style="84" bestFit="1" customWidth="1"/>
    <col min="15617" max="15617" width="12.28515625" style="84" bestFit="1" customWidth="1"/>
    <col min="15618" max="15620" width="16.7109375" style="84" bestFit="1" customWidth="1"/>
    <col min="15621" max="15621" width="73.28515625" style="84" customWidth="1"/>
    <col min="15622" max="15869" width="20.28515625" style="84"/>
    <col min="15870" max="15870" width="45.28515625" style="84" bestFit="1" customWidth="1"/>
    <col min="15871" max="15871" width="0" style="84" hidden="1" customWidth="1"/>
    <col min="15872" max="15872" width="15" style="84" bestFit="1" customWidth="1"/>
    <col min="15873" max="15873" width="12.28515625" style="84" bestFit="1" customWidth="1"/>
    <col min="15874" max="15876" width="16.7109375" style="84" bestFit="1" customWidth="1"/>
    <col min="15877" max="15877" width="73.28515625" style="84" customWidth="1"/>
    <col min="15878" max="16125" width="20.28515625" style="84"/>
    <col min="16126" max="16126" width="45.28515625" style="84" bestFit="1" customWidth="1"/>
    <col min="16127" max="16127" width="0" style="84" hidden="1" customWidth="1"/>
    <col min="16128" max="16128" width="15" style="84" bestFit="1" customWidth="1"/>
    <col min="16129" max="16129" width="12.28515625" style="84" bestFit="1" customWidth="1"/>
    <col min="16130" max="16132" width="16.7109375" style="84" bestFit="1" customWidth="1"/>
    <col min="16133" max="16133" width="73.28515625" style="84" customWidth="1"/>
    <col min="16134" max="16384" width="20.28515625" style="84"/>
  </cols>
  <sheetData>
    <row r="1" spans="1:14" ht="20.25" x14ac:dyDescent="0.25">
      <c r="A1" s="1572" t="s">
        <v>55</v>
      </c>
      <c r="B1" s="1572"/>
      <c r="C1" s="1572"/>
      <c r="D1" s="1572"/>
      <c r="E1" s="1572"/>
      <c r="F1" s="1572"/>
      <c r="G1" s="1572"/>
      <c r="H1" s="1572"/>
    </row>
    <row r="2" spans="1:14" ht="20.25" x14ac:dyDescent="0.25">
      <c r="A2" s="1573" t="s">
        <v>433</v>
      </c>
      <c r="B2" s="1573"/>
      <c r="C2" s="1573"/>
      <c r="D2" s="1573"/>
      <c r="E2" s="1573"/>
      <c r="F2" s="1573"/>
      <c r="G2" s="1573"/>
      <c r="H2" s="1573"/>
    </row>
    <row r="3" spans="1:14" ht="15.75" thickBot="1" x14ac:dyDescent="0.3"/>
    <row r="4" spans="1:14" s="481" customFormat="1" ht="32.25" thickBot="1" x14ac:dyDescent="0.3">
      <c r="A4" s="910" t="s">
        <v>212</v>
      </c>
      <c r="B4" s="911" t="s">
        <v>231</v>
      </c>
      <c r="C4" s="912" t="s">
        <v>133</v>
      </c>
      <c r="D4" s="855" t="s">
        <v>213</v>
      </c>
      <c r="E4" s="914" t="s">
        <v>274</v>
      </c>
      <c r="F4" s="915" t="s">
        <v>206</v>
      </c>
      <c r="G4" s="916" t="s">
        <v>184</v>
      </c>
      <c r="H4" s="916" t="s">
        <v>185</v>
      </c>
    </row>
    <row r="5" spans="1:14" ht="15.75" x14ac:dyDescent="0.25">
      <c r="A5" s="192" t="s">
        <v>49</v>
      </c>
      <c r="B5" s="652"/>
      <c r="C5" s="193"/>
      <c r="D5" s="194"/>
      <c r="E5" s="653">
        <f>SUM(E6:E8)</f>
        <v>477237601.5</v>
      </c>
      <c r="F5" s="1064">
        <f>SUM(F6:F8)</f>
        <v>383152353</v>
      </c>
      <c r="G5" s="1073">
        <f>+(E5-F5)/F5</f>
        <v>0.24555571109855615</v>
      </c>
      <c r="H5" s="1055"/>
      <c r="I5" s="206"/>
    </row>
    <row r="6" spans="1:14" ht="93.6" customHeight="1" x14ac:dyDescent="0.25">
      <c r="A6" s="690" t="s">
        <v>134</v>
      </c>
      <c r="B6" s="135">
        <f>+E6/C6</f>
        <v>37275872.5</v>
      </c>
      <c r="C6" s="187">
        <v>12</v>
      </c>
      <c r="D6" s="120" t="s">
        <v>189</v>
      </c>
      <c r="E6" s="129">
        <f>+'Nomina 2019 PLANTA'!T28</f>
        <v>447310470</v>
      </c>
      <c r="F6" s="1065">
        <v>344411903</v>
      </c>
      <c r="G6" s="1074">
        <f t="shared" ref="G6:G59" si="0">+(E6-F6)/F6</f>
        <v>0.2987660011274349</v>
      </c>
      <c r="H6" s="1056" t="s">
        <v>518</v>
      </c>
      <c r="I6" s="206"/>
    </row>
    <row r="7" spans="1:14" ht="60" x14ac:dyDescent="0.25">
      <c r="A7" s="655" t="s">
        <v>308</v>
      </c>
      <c r="B7" s="135">
        <f>24000000*0.19+24000000</f>
        <v>28560000</v>
      </c>
      <c r="C7" s="187">
        <v>1</v>
      </c>
      <c r="D7" s="120" t="s">
        <v>605</v>
      </c>
      <c r="E7" s="201">
        <f>+B7*C7</f>
        <v>28560000</v>
      </c>
      <c r="F7" s="1066">
        <v>38080000</v>
      </c>
      <c r="G7" s="1074">
        <f t="shared" si="0"/>
        <v>-0.25</v>
      </c>
      <c r="H7" s="1056" t="s">
        <v>469</v>
      </c>
      <c r="I7" s="206"/>
      <c r="J7" s="1277"/>
    </row>
    <row r="8" spans="1:14" ht="34.15" customHeight="1" x14ac:dyDescent="0.25">
      <c r="A8" s="190" t="s">
        <v>135</v>
      </c>
      <c r="B8" s="135">
        <f>660450*1.035</f>
        <v>683565.75</v>
      </c>
      <c r="C8" s="187">
        <v>2</v>
      </c>
      <c r="D8" s="120" t="s">
        <v>217</v>
      </c>
      <c r="E8" s="201">
        <f>+B8*C8</f>
        <v>1367131.5</v>
      </c>
      <c r="F8" s="1066">
        <v>660450</v>
      </c>
      <c r="G8" s="1074">
        <f t="shared" si="0"/>
        <v>1.07</v>
      </c>
      <c r="H8" s="1057" t="s">
        <v>519</v>
      </c>
      <c r="I8" s="206"/>
    </row>
    <row r="9" spans="1:14" ht="15.75" x14ac:dyDescent="0.25">
      <c r="A9" s="125" t="s">
        <v>51</v>
      </c>
      <c r="B9" s="656"/>
      <c r="C9" s="657"/>
      <c r="D9" s="132"/>
      <c r="E9" s="658">
        <f>+E10+E24+E27+E33+E39+E40+E41+E52+E58+E59+E61+E38+E45+E60</f>
        <v>296833881.27999997</v>
      </c>
      <c r="F9" s="658">
        <f>+F10+F24+F27+F33+F39+F40+F41+F52+F58+F59+F61+F38+F45+F60</f>
        <v>196618811.69999999</v>
      </c>
      <c r="G9" s="1075">
        <f>+(E9-F9)/F9</f>
        <v>0.50969217397625022</v>
      </c>
      <c r="H9" s="1058"/>
      <c r="I9" s="206"/>
    </row>
    <row r="10" spans="1:14" ht="15.75" x14ac:dyDescent="0.25">
      <c r="A10" s="659" t="s">
        <v>136</v>
      </c>
      <c r="B10" s="660"/>
      <c r="C10" s="181"/>
      <c r="D10" s="182"/>
      <c r="E10" s="661">
        <f>SUM(E11:E23)</f>
        <v>55667776</v>
      </c>
      <c r="F10" s="1067">
        <f>SUM(F11:F22)</f>
        <v>4991031.6999999993</v>
      </c>
      <c r="G10" s="1076">
        <f>+(E10-F10)/F10</f>
        <v>10.153560896036787</v>
      </c>
      <c r="H10" s="934"/>
      <c r="I10" s="206"/>
    </row>
    <row r="11" spans="1:14" ht="30" x14ac:dyDescent="0.25">
      <c r="A11" s="124" t="s">
        <v>310</v>
      </c>
      <c r="B11" s="122">
        <v>30000000</v>
      </c>
      <c r="C11" s="187">
        <v>1</v>
      </c>
      <c r="D11" s="120" t="s">
        <v>528</v>
      </c>
      <c r="E11" s="201">
        <f>+B11*C11</f>
        <v>30000000</v>
      </c>
      <c r="F11" s="1068">
        <v>0</v>
      </c>
      <c r="G11" s="1074">
        <v>1</v>
      </c>
      <c r="H11" s="1057" t="s">
        <v>477</v>
      </c>
      <c r="I11" s="206"/>
    </row>
    <row r="12" spans="1:14" ht="30" x14ac:dyDescent="0.25">
      <c r="A12" s="124" t="s">
        <v>311</v>
      </c>
      <c r="B12" s="122">
        <v>290000</v>
      </c>
      <c r="C12" s="187">
        <v>1</v>
      </c>
      <c r="D12" s="1213" t="s">
        <v>194</v>
      </c>
      <c r="E12" s="201">
        <f>+B12*C12</f>
        <v>290000</v>
      </c>
      <c r="F12" s="1068">
        <v>0</v>
      </c>
      <c r="G12" s="1074">
        <v>1</v>
      </c>
      <c r="H12" s="1057" t="s">
        <v>478</v>
      </c>
      <c r="I12" s="206"/>
    </row>
    <row r="13" spans="1:14" ht="30" x14ac:dyDescent="0.25">
      <c r="A13" s="124" t="s">
        <v>312</v>
      </c>
      <c r="B13" s="122">
        <v>230400</v>
      </c>
      <c r="C13" s="187">
        <v>12</v>
      </c>
      <c r="D13" s="120" t="s">
        <v>189</v>
      </c>
      <c r="E13" s="201">
        <f>+B13*C13</f>
        <v>2764800</v>
      </c>
      <c r="F13" s="1068">
        <v>0</v>
      </c>
      <c r="G13" s="1074">
        <v>1</v>
      </c>
      <c r="H13" s="1057" t="s">
        <v>479</v>
      </c>
      <c r="I13" s="206"/>
    </row>
    <row r="14" spans="1:14" ht="30" x14ac:dyDescent="0.25">
      <c r="A14" s="124" t="s">
        <v>313</v>
      </c>
      <c r="B14" s="122">
        <v>400000</v>
      </c>
      <c r="C14" s="187">
        <v>8</v>
      </c>
      <c r="D14" s="120" t="s">
        <v>194</v>
      </c>
      <c r="E14" s="201">
        <f>+B14*C14</f>
        <v>3200000</v>
      </c>
      <c r="F14" s="1068">
        <v>0</v>
      </c>
      <c r="G14" s="1074">
        <v>1</v>
      </c>
      <c r="H14" s="1057" t="s">
        <v>480</v>
      </c>
      <c r="I14" s="206"/>
    </row>
    <row r="15" spans="1:14" ht="45" x14ac:dyDescent="0.25">
      <c r="A15" s="124" t="s">
        <v>315</v>
      </c>
      <c r="B15" s="191">
        <v>110600</v>
      </c>
      <c r="C15" s="187">
        <v>13</v>
      </c>
      <c r="D15" s="120" t="s">
        <v>225</v>
      </c>
      <c r="E15" s="201">
        <f t="shared" ref="E15:E18" si="1">+B15*C15</f>
        <v>1437800</v>
      </c>
      <c r="F15" s="1068">
        <v>0</v>
      </c>
      <c r="G15" s="1074">
        <v>1</v>
      </c>
      <c r="H15" s="1057" t="s">
        <v>520</v>
      </c>
      <c r="I15" s="206"/>
    </row>
    <row r="16" spans="1:14" s="1131" customFormat="1" ht="30" x14ac:dyDescent="0.25">
      <c r="A16" s="1141" t="s">
        <v>448</v>
      </c>
      <c r="B16" s="1143">
        <v>750000</v>
      </c>
      <c r="C16" s="1142">
        <v>3</v>
      </c>
      <c r="D16" s="1213" t="s">
        <v>225</v>
      </c>
      <c r="E16" s="1145">
        <f>+B16*C16</f>
        <v>2250000</v>
      </c>
      <c r="F16" s="1146">
        <v>3342031.6999999997</v>
      </c>
      <c r="G16" s="1149">
        <v>-0.21006135279925675</v>
      </c>
      <c r="H16" s="1147" t="s">
        <v>521</v>
      </c>
      <c r="I16" s="1144"/>
      <c r="J16" s="1140"/>
      <c r="K16" s="1140"/>
      <c r="L16" s="1140"/>
      <c r="M16" s="1140"/>
      <c r="N16" s="1140"/>
    </row>
    <row r="17" spans="1:14" ht="45" x14ac:dyDescent="0.25">
      <c r="A17" s="126" t="s">
        <v>593</v>
      </c>
      <c r="B17" s="135">
        <v>800000</v>
      </c>
      <c r="C17" s="188">
        <v>8</v>
      </c>
      <c r="D17" s="120" t="s">
        <v>225</v>
      </c>
      <c r="E17" s="201">
        <f>+B17*C17</f>
        <v>6400000</v>
      </c>
      <c r="F17" s="664">
        <v>0</v>
      </c>
      <c r="G17" s="1022">
        <v>1</v>
      </c>
      <c r="H17" s="127" t="s">
        <v>522</v>
      </c>
      <c r="I17" s="206" t="s">
        <v>651</v>
      </c>
    </row>
    <row r="18" spans="1:14" ht="30" x14ac:dyDescent="0.25">
      <c r="A18" s="124" t="s">
        <v>316</v>
      </c>
      <c r="B18" s="191">
        <v>120000</v>
      </c>
      <c r="C18" s="187">
        <v>3</v>
      </c>
      <c r="D18" s="120" t="s">
        <v>430</v>
      </c>
      <c r="E18" s="201">
        <f t="shared" si="1"/>
        <v>360000</v>
      </c>
      <c r="F18" s="1068">
        <v>0</v>
      </c>
      <c r="G18" s="1074">
        <v>1</v>
      </c>
      <c r="H18" s="861" t="s">
        <v>481</v>
      </c>
      <c r="I18" s="206"/>
    </row>
    <row r="19" spans="1:14" s="85" customFormat="1" ht="30" x14ac:dyDescent="0.2">
      <c r="A19" s="126" t="s">
        <v>337</v>
      </c>
      <c r="B19" s="135">
        <v>220000</v>
      </c>
      <c r="C19" s="188">
        <v>2</v>
      </c>
      <c r="D19" s="120" t="s">
        <v>338</v>
      </c>
      <c r="E19" s="136">
        <f>+B19*C19</f>
        <v>440000</v>
      </c>
      <c r="F19" s="1069">
        <v>0</v>
      </c>
      <c r="G19" s="1074">
        <v>1</v>
      </c>
      <c r="H19" s="861" t="s">
        <v>482</v>
      </c>
      <c r="I19" s="85">
        <f>+'FUNCIONAMIENTO '!C14+'RECAUDO '!C17+'SISTEMAS DE INF '!C14+ITPA!C31</f>
        <v>12</v>
      </c>
      <c r="J19" s="142"/>
      <c r="K19" s="434"/>
      <c r="L19" s="429"/>
      <c r="N19" s="142"/>
    </row>
    <row r="20" spans="1:14" s="85" customFormat="1" ht="30" x14ac:dyDescent="0.2">
      <c r="A20" s="1115" t="s">
        <v>446</v>
      </c>
      <c r="B20" s="1124">
        <v>2400000</v>
      </c>
      <c r="C20" s="1120">
        <v>1</v>
      </c>
      <c r="D20" s="1123" t="s">
        <v>529</v>
      </c>
      <c r="E20" s="1117">
        <v>2400000</v>
      </c>
      <c r="F20" s="1118">
        <v>0</v>
      </c>
      <c r="G20" s="1125">
        <v>1</v>
      </c>
      <c r="H20" s="1119" t="s">
        <v>523</v>
      </c>
      <c r="I20" s="1114"/>
      <c r="J20" s="1116"/>
      <c r="K20" s="1121"/>
      <c r="L20" s="1122"/>
      <c r="M20" s="1114"/>
      <c r="N20" s="1116"/>
    </row>
    <row r="21" spans="1:14" ht="45" x14ac:dyDescent="0.25">
      <c r="A21" s="124" t="s">
        <v>222</v>
      </c>
      <c r="B21" s="1127">
        <v>1800000</v>
      </c>
      <c r="C21" s="1126">
        <v>2</v>
      </c>
      <c r="D21" s="1148" t="s">
        <v>529</v>
      </c>
      <c r="E21" s="201">
        <f>+B21*C21</f>
        <v>3600000</v>
      </c>
      <c r="F21" s="1068">
        <v>1649000</v>
      </c>
      <c r="G21" s="1074">
        <f>+(E21-F21)/F21</f>
        <v>1.1831412977562159</v>
      </c>
      <c r="H21" s="1129" t="s">
        <v>483</v>
      </c>
      <c r="I21" s="206"/>
    </row>
    <row r="22" spans="1:14" s="1128" customFormat="1" ht="30" x14ac:dyDescent="0.25">
      <c r="A22" s="1132" t="s">
        <v>447</v>
      </c>
      <c r="B22" s="1136">
        <v>1525175.9999999998</v>
      </c>
      <c r="C22" s="1133">
        <v>1</v>
      </c>
      <c r="D22" s="1138" t="s">
        <v>194</v>
      </c>
      <c r="E22" s="1135">
        <v>1525175.9999999998</v>
      </c>
      <c r="F22" s="1136">
        <v>0</v>
      </c>
      <c r="G22" s="1139">
        <v>1</v>
      </c>
      <c r="H22" s="1137" t="s">
        <v>524</v>
      </c>
      <c r="I22" s="1134"/>
      <c r="J22" s="1130"/>
      <c r="K22" s="1130"/>
      <c r="L22" s="1130"/>
      <c r="M22" s="1130"/>
      <c r="N22" s="1130"/>
    </row>
    <row r="23" spans="1:14" s="1318" customFormat="1" ht="30" x14ac:dyDescent="0.25">
      <c r="A23" s="1215" t="s">
        <v>515</v>
      </c>
      <c r="B23" s="1151">
        <v>1000000</v>
      </c>
      <c r="C23" s="1220">
        <v>1</v>
      </c>
      <c r="D23" s="1213" t="s">
        <v>514</v>
      </c>
      <c r="E23" s="129">
        <f>+B23*C23</f>
        <v>1000000</v>
      </c>
      <c r="F23" s="1070">
        <v>0</v>
      </c>
      <c r="G23" s="1074">
        <v>1</v>
      </c>
      <c r="H23" s="1158" t="s">
        <v>606</v>
      </c>
      <c r="I23" s="1225"/>
    </row>
    <row r="24" spans="1:14" ht="15.75" x14ac:dyDescent="0.25">
      <c r="A24" s="659" t="s">
        <v>318</v>
      </c>
      <c r="B24" s="660"/>
      <c r="C24" s="181"/>
      <c r="D24" s="182"/>
      <c r="E24" s="661">
        <f>SUM(E25:E26)</f>
        <v>3540000</v>
      </c>
      <c r="F24" s="1067">
        <f>SUM(F25:F26)</f>
        <v>0</v>
      </c>
      <c r="G24" s="1076">
        <v>1</v>
      </c>
      <c r="H24" s="934"/>
      <c r="I24" s="206"/>
    </row>
    <row r="25" spans="1:14" ht="30" x14ac:dyDescent="0.25">
      <c r="A25" s="124" t="s">
        <v>336</v>
      </c>
      <c r="B25" s="122">
        <v>270000</v>
      </c>
      <c r="C25" s="187">
        <v>13</v>
      </c>
      <c r="D25" s="120" t="s">
        <v>415</v>
      </c>
      <c r="E25" s="129">
        <f t="shared" ref="E25" si="2">+B25*C25</f>
        <v>3510000</v>
      </c>
      <c r="F25" s="1070">
        <v>0</v>
      </c>
      <c r="G25" s="1074">
        <v>1</v>
      </c>
      <c r="H25" s="861" t="s">
        <v>484</v>
      </c>
      <c r="I25" s="206"/>
    </row>
    <row r="26" spans="1:14" ht="45" x14ac:dyDescent="0.25">
      <c r="A26" s="124" t="s">
        <v>334</v>
      </c>
      <c r="B26" s="122">
        <v>30000</v>
      </c>
      <c r="C26" s="187">
        <v>1</v>
      </c>
      <c r="D26" s="120" t="s">
        <v>194</v>
      </c>
      <c r="E26" s="129">
        <f t="shared" ref="E26" si="3">+B26*C26</f>
        <v>30000</v>
      </c>
      <c r="F26" s="1070">
        <v>0</v>
      </c>
      <c r="G26" s="1074">
        <v>1</v>
      </c>
      <c r="H26" s="861" t="s">
        <v>335</v>
      </c>
      <c r="I26" s="206"/>
    </row>
    <row r="27" spans="1:14" ht="15.75" x14ac:dyDescent="0.25">
      <c r="A27" s="659" t="s">
        <v>137</v>
      </c>
      <c r="B27" s="660"/>
      <c r="C27" s="181"/>
      <c r="D27" s="182"/>
      <c r="E27" s="661">
        <f>SUM(E28:E32)</f>
        <v>30495500</v>
      </c>
      <c r="F27" s="1067">
        <f>SUM(F28:F32)</f>
        <v>26950500</v>
      </c>
      <c r="G27" s="1076">
        <f t="shared" si="0"/>
        <v>0.13153744828481848</v>
      </c>
      <c r="H27" s="934"/>
      <c r="I27" s="206"/>
    </row>
    <row r="28" spans="1:14" ht="45" x14ac:dyDescent="0.25">
      <c r="A28" s="124" t="s">
        <v>157</v>
      </c>
      <c r="B28" s="122">
        <v>10900</v>
      </c>
      <c r="C28" s="187">
        <v>1000</v>
      </c>
      <c r="D28" s="120" t="s">
        <v>196</v>
      </c>
      <c r="E28" s="201">
        <f>+B28*C28</f>
        <v>10900000</v>
      </c>
      <c r="F28" s="1066">
        <v>10575000</v>
      </c>
      <c r="G28" s="1074">
        <f t="shared" si="0"/>
        <v>3.0732860520094562E-2</v>
      </c>
      <c r="H28" s="1057" t="s">
        <v>485</v>
      </c>
      <c r="I28" s="206"/>
    </row>
    <row r="29" spans="1:14" ht="45" x14ac:dyDescent="0.25">
      <c r="A29" s="124" t="s">
        <v>319</v>
      </c>
      <c r="B29" s="122">
        <v>1450</v>
      </c>
      <c r="C29" s="187">
        <v>1500</v>
      </c>
      <c r="D29" s="120" t="s">
        <v>196</v>
      </c>
      <c r="E29" s="201">
        <f>+B29*C29</f>
        <v>2175000</v>
      </c>
      <c r="F29" s="1066">
        <v>0</v>
      </c>
      <c r="G29" s="1074">
        <v>1</v>
      </c>
      <c r="H29" s="1057" t="s">
        <v>486</v>
      </c>
      <c r="I29" s="206"/>
    </row>
    <row r="30" spans="1:14" ht="45" x14ac:dyDescent="0.25">
      <c r="A30" s="124" t="s">
        <v>320</v>
      </c>
      <c r="B30" s="122">
        <v>1550</v>
      </c>
      <c r="C30" s="187">
        <v>5000</v>
      </c>
      <c r="D30" s="120" t="s">
        <v>196</v>
      </c>
      <c r="E30" s="201">
        <f>+B30*C30</f>
        <v>7750000</v>
      </c>
      <c r="F30" s="1066">
        <v>7500000</v>
      </c>
      <c r="G30" s="1074">
        <f t="shared" si="0"/>
        <v>3.3333333333333333E-2</v>
      </c>
      <c r="H30" s="861" t="s">
        <v>487</v>
      </c>
      <c r="I30" s="206"/>
    </row>
    <row r="31" spans="1:14" ht="45" x14ac:dyDescent="0.25">
      <c r="A31" s="124" t="s">
        <v>321</v>
      </c>
      <c r="B31" s="122">
        <v>10000</v>
      </c>
      <c r="C31" s="187">
        <v>80</v>
      </c>
      <c r="D31" s="120" t="s">
        <v>196</v>
      </c>
      <c r="E31" s="201">
        <f>+B31*C31</f>
        <v>800000</v>
      </c>
      <c r="F31" s="1066">
        <v>0</v>
      </c>
      <c r="G31" s="1074">
        <v>1</v>
      </c>
      <c r="H31" s="861" t="s">
        <v>488</v>
      </c>
      <c r="I31" s="206"/>
    </row>
    <row r="32" spans="1:14" ht="30" x14ac:dyDescent="0.25">
      <c r="A32" s="126" t="s">
        <v>138</v>
      </c>
      <c r="B32" s="122">
        <v>739208.33333333337</v>
      </c>
      <c r="C32" s="187">
        <v>12</v>
      </c>
      <c r="D32" s="120" t="s">
        <v>189</v>
      </c>
      <c r="E32" s="201">
        <f>+B32*C32</f>
        <v>8870500</v>
      </c>
      <c r="F32" s="1066">
        <v>8875500</v>
      </c>
      <c r="G32" s="1074">
        <f t="shared" si="0"/>
        <v>-5.6334854374401441E-4</v>
      </c>
      <c r="H32" s="1057" t="s">
        <v>216</v>
      </c>
      <c r="I32" s="206"/>
      <c r="J32" s="176"/>
    </row>
    <row r="33" spans="1:16" ht="15.75" x14ac:dyDescent="0.25">
      <c r="A33" s="659" t="s">
        <v>139</v>
      </c>
      <c r="B33" s="660"/>
      <c r="C33" s="181"/>
      <c r="D33" s="182"/>
      <c r="E33" s="661">
        <f>SUM(E34:E37)</f>
        <v>14901600</v>
      </c>
      <c r="F33" s="1067">
        <f>SUM(F34:F37)</f>
        <v>6974460</v>
      </c>
      <c r="G33" s="1076">
        <f t="shared" si="0"/>
        <v>1.1365955213736978</v>
      </c>
      <c r="H33" s="934"/>
      <c r="I33" s="206"/>
      <c r="J33" s="176"/>
    </row>
    <row r="34" spans="1:16" ht="30" x14ac:dyDescent="0.25">
      <c r="A34" s="124" t="s">
        <v>140</v>
      </c>
      <c r="B34" s="135">
        <f>ROUND(220150*1.035,-3)</f>
        <v>228000</v>
      </c>
      <c r="C34" s="187">
        <v>9</v>
      </c>
      <c r="D34" s="120" t="s">
        <v>189</v>
      </c>
      <c r="E34" s="201">
        <f t="shared" ref="E34:E40" si="4">+B34*C34</f>
        <v>2052000</v>
      </c>
      <c r="F34" s="1066">
        <v>1981350</v>
      </c>
      <c r="G34" s="1074">
        <f t="shared" si="0"/>
        <v>3.5657506245741537E-2</v>
      </c>
      <c r="H34" s="1057" t="s">
        <v>450</v>
      </c>
      <c r="I34" s="206"/>
      <c r="J34" s="176"/>
      <c r="L34" s="206"/>
    </row>
    <row r="35" spans="1:16" ht="30" x14ac:dyDescent="0.25">
      <c r="A35" s="124" t="s">
        <v>141</v>
      </c>
      <c r="B35" s="122">
        <v>259800</v>
      </c>
      <c r="C35" s="187">
        <v>12</v>
      </c>
      <c r="D35" s="120" t="s">
        <v>189</v>
      </c>
      <c r="E35" s="201">
        <f t="shared" si="4"/>
        <v>3117600</v>
      </c>
      <c r="F35" s="1066">
        <v>3011760</v>
      </c>
      <c r="G35" s="1074">
        <f t="shared" si="0"/>
        <v>3.5142242409753763E-2</v>
      </c>
      <c r="H35" s="1057" t="s">
        <v>525</v>
      </c>
      <c r="I35" s="206"/>
      <c r="J35" s="176"/>
      <c r="L35" s="1277"/>
    </row>
    <row r="36" spans="1:16" ht="45" x14ac:dyDescent="0.25">
      <c r="A36" s="124" t="s">
        <v>449</v>
      </c>
      <c r="B36" s="122">
        <v>640000</v>
      </c>
      <c r="C36" s="187">
        <v>12</v>
      </c>
      <c r="D36" s="120" t="s">
        <v>189</v>
      </c>
      <c r="E36" s="201">
        <f t="shared" si="4"/>
        <v>7680000</v>
      </c>
      <c r="F36" s="1068">
        <v>0</v>
      </c>
      <c r="G36" s="1074">
        <v>1</v>
      </c>
      <c r="H36" s="1158" t="s">
        <v>451</v>
      </c>
      <c r="I36" s="206"/>
    </row>
    <row r="37" spans="1:16" ht="30" x14ac:dyDescent="0.25">
      <c r="A37" s="124" t="s">
        <v>142</v>
      </c>
      <c r="B37" s="135">
        <f>ROUND(220150*1.035,-3)</f>
        <v>228000</v>
      </c>
      <c r="C37" s="187">
        <v>9</v>
      </c>
      <c r="D37" s="120" t="s">
        <v>189</v>
      </c>
      <c r="E37" s="201">
        <f t="shared" si="4"/>
        <v>2052000</v>
      </c>
      <c r="F37" s="1066">
        <v>1981350</v>
      </c>
      <c r="G37" s="1074">
        <f t="shared" si="0"/>
        <v>3.5657506245741537E-2</v>
      </c>
      <c r="H37" s="1057" t="s">
        <v>452</v>
      </c>
      <c r="I37" s="206"/>
      <c r="J37" s="176"/>
    </row>
    <row r="38" spans="1:16" ht="30" x14ac:dyDescent="0.25">
      <c r="A38" s="659" t="s">
        <v>438</v>
      </c>
      <c r="B38" s="665"/>
      <c r="C38" s="181"/>
      <c r="D38" s="182"/>
      <c r="E38" s="661">
        <f>+B38*C38</f>
        <v>0</v>
      </c>
      <c r="F38" s="1067">
        <v>2177400</v>
      </c>
      <c r="G38" s="1076">
        <f>+(E38-F38)/F38</f>
        <v>-1</v>
      </c>
      <c r="H38" s="1059" t="s">
        <v>453</v>
      </c>
      <c r="I38" s="206"/>
      <c r="L38" s="481"/>
      <c r="M38" s="481"/>
    </row>
    <row r="39" spans="1:16" ht="30" x14ac:dyDescent="0.25">
      <c r="A39" s="659" t="s">
        <v>143</v>
      </c>
      <c r="B39" s="665">
        <f>ROUND(1100800*1.0355,-3)</f>
        <v>1140000</v>
      </c>
      <c r="C39" s="181">
        <v>12</v>
      </c>
      <c r="D39" s="182" t="s">
        <v>189</v>
      </c>
      <c r="E39" s="661">
        <f t="shared" si="4"/>
        <v>13680000</v>
      </c>
      <c r="F39" s="1067">
        <v>13209600</v>
      </c>
      <c r="G39" s="1076">
        <f t="shared" si="0"/>
        <v>3.5610465116279071E-2</v>
      </c>
      <c r="H39" s="1059" t="s">
        <v>526</v>
      </c>
      <c r="I39" s="206"/>
      <c r="L39" s="481"/>
      <c r="M39" s="481"/>
    </row>
    <row r="40" spans="1:16" ht="45" x14ac:dyDescent="0.25">
      <c r="A40" s="659" t="s">
        <v>144</v>
      </c>
      <c r="B40" s="665">
        <v>470000</v>
      </c>
      <c r="C40" s="181">
        <v>12</v>
      </c>
      <c r="D40" s="182" t="s">
        <v>189</v>
      </c>
      <c r="E40" s="661">
        <f t="shared" si="4"/>
        <v>5640000</v>
      </c>
      <c r="F40" s="1067">
        <v>4114205</v>
      </c>
      <c r="G40" s="1076">
        <f t="shared" si="0"/>
        <v>0.37086022694542448</v>
      </c>
      <c r="H40" s="1059" t="s">
        <v>322</v>
      </c>
      <c r="I40" s="206"/>
      <c r="J40" s="666"/>
      <c r="K40" s="176"/>
      <c r="L40" s="481"/>
      <c r="M40" s="481"/>
      <c r="N40" s="176"/>
      <c r="O40" s="667"/>
      <c r="P40" s="667"/>
    </row>
    <row r="41" spans="1:16" ht="15.75" x14ac:dyDescent="0.25">
      <c r="A41" s="659" t="s">
        <v>145</v>
      </c>
      <c r="B41" s="665"/>
      <c r="C41" s="181"/>
      <c r="D41" s="182"/>
      <c r="E41" s="661">
        <f>SUM(E42:E44)</f>
        <v>111835548</v>
      </c>
      <c r="F41" s="1071">
        <f>SUM(F42:F44)</f>
        <v>77048885</v>
      </c>
      <c r="G41" s="1076">
        <f>+(E41-F41)/F41</f>
        <v>0.45148820777873683</v>
      </c>
      <c r="H41" s="934"/>
      <c r="I41" s="206"/>
      <c r="K41" s="176"/>
      <c r="L41" s="481"/>
      <c r="M41" s="481"/>
      <c r="N41" s="176"/>
    </row>
    <row r="42" spans="1:16" s="670" customFormat="1" ht="53.45" customHeight="1" x14ac:dyDescent="0.25">
      <c r="A42" s="190" t="s">
        <v>146</v>
      </c>
      <c r="B42" s="1155">
        <v>700000</v>
      </c>
      <c r="C42" s="1156">
        <v>21</v>
      </c>
      <c r="D42" s="433" t="s">
        <v>323</v>
      </c>
      <c r="E42" s="201">
        <f>+B42*C42</f>
        <v>14700000</v>
      </c>
      <c r="F42" s="1066">
        <v>13356000</v>
      </c>
      <c r="G42" s="1077">
        <f>+(E42-F42)/F42</f>
        <v>0.10062893081761007</v>
      </c>
      <c r="H42" s="936" t="s">
        <v>454</v>
      </c>
      <c r="I42" s="669"/>
      <c r="K42" s="671"/>
      <c r="L42" s="672"/>
      <c r="M42" s="672"/>
      <c r="N42" s="671"/>
      <c r="O42" s="671"/>
      <c r="P42" s="671"/>
    </row>
    <row r="43" spans="1:16" s="670" customFormat="1" ht="105" x14ac:dyDescent="0.25">
      <c r="A43" s="190" t="s">
        <v>147</v>
      </c>
      <c r="B43" s="1155">
        <v>941518.1333333333</v>
      </c>
      <c r="C43" s="1156">
        <v>45</v>
      </c>
      <c r="D43" s="433" t="s">
        <v>147</v>
      </c>
      <c r="E43" s="201">
        <f>+B43*C43</f>
        <v>42368316</v>
      </c>
      <c r="F43" s="1066">
        <v>25710300</v>
      </c>
      <c r="G43" s="1077">
        <f t="shared" si="0"/>
        <v>0.64791215971808969</v>
      </c>
      <c r="H43" s="936" t="s">
        <v>491</v>
      </c>
      <c r="I43" s="669"/>
      <c r="J43" s="673"/>
      <c r="K43" s="671"/>
      <c r="L43" s="672"/>
      <c r="M43" s="672"/>
      <c r="N43" s="671"/>
      <c r="O43" s="671"/>
      <c r="P43" s="671"/>
    </row>
    <row r="44" spans="1:16" ht="60" x14ac:dyDescent="0.25">
      <c r="A44" s="124" t="s">
        <v>148</v>
      </c>
      <c r="B44" s="1151">
        <v>570492</v>
      </c>
      <c r="C44" s="1154">
        <v>96</v>
      </c>
      <c r="D44" s="120" t="s">
        <v>324</v>
      </c>
      <c r="E44" s="201">
        <f>+B44*C44</f>
        <v>54767232</v>
      </c>
      <c r="F44" s="1066">
        <v>37982585</v>
      </c>
      <c r="G44" s="1074">
        <f t="shared" si="0"/>
        <v>0.44190375668217419</v>
      </c>
      <c r="H44" s="936" t="s">
        <v>455</v>
      </c>
      <c r="I44" s="206"/>
      <c r="J44" s="666"/>
      <c r="K44" s="176"/>
      <c r="L44" s="481"/>
      <c r="M44" s="481"/>
      <c r="N44" s="176"/>
      <c r="O44" s="667"/>
      <c r="P44" s="667"/>
    </row>
    <row r="45" spans="1:16" s="1212" customFormat="1" ht="15.75" x14ac:dyDescent="0.25">
      <c r="A45" s="1230" t="s">
        <v>460</v>
      </c>
      <c r="B45" s="1231"/>
      <c r="C45" s="1218"/>
      <c r="D45" s="1219"/>
      <c r="E45" s="1232">
        <f>+E46</f>
        <v>12121376.399999999</v>
      </c>
      <c r="F45" s="1067">
        <f>+F46</f>
        <v>12648100</v>
      </c>
      <c r="G45" s="1076">
        <f t="shared" ref="G45:G49" si="5">+(E45-F45)/F45</f>
        <v>-4.1644484151769946E-2</v>
      </c>
      <c r="H45" s="1256"/>
      <c r="I45" s="1225"/>
      <c r="L45" s="1228"/>
      <c r="P45" s="1225"/>
    </row>
    <row r="46" spans="1:16" s="1235" customFormat="1" ht="15.75" x14ac:dyDescent="0.25">
      <c r="A46" s="1237" t="s">
        <v>325</v>
      </c>
      <c r="B46" s="1238"/>
      <c r="C46" s="1239"/>
      <c r="D46" s="1240"/>
      <c r="E46" s="1241">
        <f>SUM(E47:E51)</f>
        <v>12121376.399999999</v>
      </c>
      <c r="F46" s="1072">
        <f>SUM(F47:F51)</f>
        <v>12648100</v>
      </c>
      <c r="G46" s="1078">
        <f t="shared" si="5"/>
        <v>-4.1644484151769946E-2</v>
      </c>
      <c r="H46" s="1060"/>
      <c r="I46" s="1234"/>
      <c r="P46" s="671"/>
    </row>
    <row r="47" spans="1:16" s="1235" customFormat="1" ht="45" x14ac:dyDescent="0.25">
      <c r="A47" s="1222" t="s">
        <v>146</v>
      </c>
      <c r="B47" s="1223">
        <v>700000</v>
      </c>
      <c r="C47" s="1226">
        <v>4</v>
      </c>
      <c r="D47" s="1227" t="s">
        <v>323</v>
      </c>
      <c r="E47" s="1224">
        <f>+B47*C47</f>
        <v>2800000</v>
      </c>
      <c r="F47" s="1066">
        <v>2434140</v>
      </c>
      <c r="G47" s="1077">
        <f t="shared" si="5"/>
        <v>0.15030359798532542</v>
      </c>
      <c r="H47" s="1257" t="s">
        <v>492</v>
      </c>
      <c r="I47" s="1234"/>
      <c r="J47" s="677"/>
      <c r="K47" s="1236"/>
      <c r="L47" s="1236"/>
      <c r="M47" s="1236"/>
    </row>
    <row r="48" spans="1:16" s="1235" customFormat="1" ht="46.5" customHeight="1" x14ac:dyDescent="0.25">
      <c r="A48" s="1222" t="s">
        <v>149</v>
      </c>
      <c r="B48" s="1223">
        <v>906875.27999999991</v>
      </c>
      <c r="C48" s="1226">
        <v>5</v>
      </c>
      <c r="D48" s="1227" t="s">
        <v>217</v>
      </c>
      <c r="E48" s="1224">
        <f>+B48*C48</f>
        <v>4534376.3999999994</v>
      </c>
      <c r="F48" s="1066">
        <v>4492952</v>
      </c>
      <c r="G48" s="1077">
        <f t="shared" si="5"/>
        <v>9.2198625758742672E-3</v>
      </c>
      <c r="H48" s="1257" t="s">
        <v>473</v>
      </c>
      <c r="I48" s="1234"/>
      <c r="J48" s="677"/>
      <c r="K48" s="1242"/>
      <c r="L48" s="1236"/>
      <c r="M48" s="1242"/>
      <c r="N48" s="1242"/>
      <c r="O48" s="1236"/>
      <c r="P48" s="1236"/>
    </row>
    <row r="49" spans="1:16" s="1235" customFormat="1" ht="48" customHeight="1" x14ac:dyDescent="0.25">
      <c r="A49" s="1222" t="s">
        <v>150</v>
      </c>
      <c r="B49" s="1223">
        <v>349000</v>
      </c>
      <c r="C49" s="1226">
        <v>13</v>
      </c>
      <c r="D49" s="1227" t="s">
        <v>217</v>
      </c>
      <c r="E49" s="1224">
        <f t="shared" ref="E49:E51" si="6">+B49*C49</f>
        <v>4537000</v>
      </c>
      <c r="F49" s="1066">
        <v>5042708</v>
      </c>
      <c r="G49" s="1077">
        <f t="shared" si="5"/>
        <v>-0.1002850055961995</v>
      </c>
      <c r="H49" s="1257" t="s">
        <v>527</v>
      </c>
      <c r="I49" s="1234"/>
      <c r="J49" s="677"/>
      <c r="K49" s="1242"/>
      <c r="L49" s="1236"/>
      <c r="M49" s="1242"/>
      <c r="N49" s="1242"/>
      <c r="O49" s="1236"/>
    </row>
    <row r="50" spans="1:16" s="1233" customFormat="1" ht="30" x14ac:dyDescent="0.25">
      <c r="A50" s="1222" t="s">
        <v>156</v>
      </c>
      <c r="B50" s="1223">
        <v>250000</v>
      </c>
      <c r="C50" s="1226">
        <v>1</v>
      </c>
      <c r="D50" s="1227" t="s">
        <v>194</v>
      </c>
      <c r="E50" s="1224">
        <f t="shared" si="6"/>
        <v>250000</v>
      </c>
      <c r="F50" s="1066">
        <v>0</v>
      </c>
      <c r="G50" s="1077">
        <v>1</v>
      </c>
      <c r="H50" s="1257" t="s">
        <v>474</v>
      </c>
      <c r="I50" s="1243"/>
      <c r="J50" s="677"/>
    </row>
    <row r="51" spans="1:16" s="1235" customFormat="1" ht="30" x14ac:dyDescent="0.25">
      <c r="A51" s="1222" t="s">
        <v>214</v>
      </c>
      <c r="B51" s="1223">
        <v>0</v>
      </c>
      <c r="C51" s="1226">
        <v>0</v>
      </c>
      <c r="D51" s="1227" t="s">
        <v>194</v>
      </c>
      <c r="E51" s="1224">
        <f t="shared" si="6"/>
        <v>0</v>
      </c>
      <c r="F51" s="1066">
        <v>678300</v>
      </c>
      <c r="G51" s="1077">
        <f t="shared" ref="G51" si="7">+(E51-F51)/F51</f>
        <v>-1</v>
      </c>
      <c r="H51" s="1257" t="s">
        <v>475</v>
      </c>
      <c r="I51" s="1234"/>
      <c r="J51" s="677"/>
    </row>
    <row r="52" spans="1:16" ht="15.75" x14ac:dyDescent="0.25">
      <c r="A52" s="659" t="s">
        <v>461</v>
      </c>
      <c r="B52" s="660"/>
      <c r="C52" s="181"/>
      <c r="D52" s="182"/>
      <c r="E52" s="661">
        <f>+E53+E55</f>
        <v>17025198.879999999</v>
      </c>
      <c r="F52" s="1067">
        <f>+F53+F55</f>
        <v>19567790</v>
      </c>
      <c r="G52" s="1076">
        <f t="shared" si="0"/>
        <v>-0.12993757189749078</v>
      </c>
      <c r="H52" s="934"/>
      <c r="I52" s="206"/>
      <c r="L52" s="481"/>
      <c r="P52" s="206"/>
    </row>
    <row r="53" spans="1:16" ht="15.75" x14ac:dyDescent="0.25">
      <c r="A53" s="674" t="s">
        <v>326</v>
      </c>
      <c r="B53" s="675"/>
      <c r="C53" s="679"/>
      <c r="D53" s="680"/>
      <c r="E53" s="676">
        <f>+E54</f>
        <v>2267898.8799999999</v>
      </c>
      <c r="F53" s="1072">
        <f>+F54</f>
        <v>8570400</v>
      </c>
      <c r="G53" s="1079">
        <f t="shared" si="0"/>
        <v>-0.73538004293848591</v>
      </c>
      <c r="H53" s="1061"/>
      <c r="I53" s="206"/>
    </row>
    <row r="54" spans="1:16" ht="75" x14ac:dyDescent="0.25">
      <c r="A54" s="190" t="s">
        <v>327</v>
      </c>
      <c r="B54" s="122">
        <f>272584*1.04</f>
        <v>283487.35999999999</v>
      </c>
      <c r="C54" s="187">
        <v>8</v>
      </c>
      <c r="D54" s="120" t="s">
        <v>281</v>
      </c>
      <c r="E54" s="201">
        <f>+B54*C54</f>
        <v>2267898.8799999999</v>
      </c>
      <c r="F54" s="1066">
        <v>8570400</v>
      </c>
      <c r="G54" s="1074">
        <f t="shared" si="0"/>
        <v>-0.73538004293848591</v>
      </c>
      <c r="H54" s="861" t="s">
        <v>472</v>
      </c>
      <c r="I54" s="206"/>
    </row>
    <row r="55" spans="1:16" ht="15.75" x14ac:dyDescent="0.25">
      <c r="A55" s="674" t="s">
        <v>328</v>
      </c>
      <c r="B55" s="675"/>
      <c r="C55" s="679"/>
      <c r="D55" s="680"/>
      <c r="E55" s="676">
        <f>SUM(E56:E57)</f>
        <v>14757300</v>
      </c>
      <c r="F55" s="1072">
        <f>SUM(F56:F57)</f>
        <v>10997390</v>
      </c>
      <c r="G55" s="1079">
        <f t="shared" si="0"/>
        <v>0.34189112143881412</v>
      </c>
      <c r="H55" s="1061"/>
      <c r="I55" s="206"/>
    </row>
    <row r="56" spans="1:16" ht="30" x14ac:dyDescent="0.25">
      <c r="A56" s="124" t="s">
        <v>329</v>
      </c>
      <c r="B56" s="1151">
        <v>11382300</v>
      </c>
      <c r="C56" s="187">
        <v>1</v>
      </c>
      <c r="D56" s="120" t="s">
        <v>194</v>
      </c>
      <c r="E56" s="201">
        <f>+B56*C56</f>
        <v>11382300</v>
      </c>
      <c r="F56" s="1066">
        <v>10997390</v>
      </c>
      <c r="G56" s="1074">
        <f t="shared" si="0"/>
        <v>3.5000122756399472E-2</v>
      </c>
      <c r="H56" s="1057" t="s">
        <v>470</v>
      </c>
      <c r="I56" s="206"/>
    </row>
    <row r="57" spans="1:16" ht="90" x14ac:dyDescent="0.25">
      <c r="A57" s="124" t="s">
        <v>330</v>
      </c>
      <c r="B57" s="122">
        <v>375000</v>
      </c>
      <c r="C57" s="187">
        <v>9</v>
      </c>
      <c r="D57" s="120" t="s">
        <v>224</v>
      </c>
      <c r="E57" s="201">
        <f>+B57*C57</f>
        <v>3375000</v>
      </c>
      <c r="F57" s="1066">
        <v>0</v>
      </c>
      <c r="G57" s="1074">
        <v>1</v>
      </c>
      <c r="H57" s="1057" t="s">
        <v>471</v>
      </c>
      <c r="I57" s="206"/>
    </row>
    <row r="58" spans="1:16" s="670" customFormat="1" ht="45" x14ac:dyDescent="0.25">
      <c r="A58" s="659" t="s">
        <v>151</v>
      </c>
      <c r="B58" s="660">
        <v>2500000</v>
      </c>
      <c r="C58" s="681">
        <v>12</v>
      </c>
      <c r="D58" s="682" t="s">
        <v>189</v>
      </c>
      <c r="E58" s="661">
        <f>+B58*C58</f>
        <v>30000000</v>
      </c>
      <c r="F58" s="1067">
        <v>26999958</v>
      </c>
      <c r="G58" s="1080">
        <f>+(E58-F58)/F58</f>
        <v>0.11111283950886146</v>
      </c>
      <c r="H58" s="1062" t="s">
        <v>489</v>
      </c>
      <c r="I58" s="669"/>
    </row>
    <row r="59" spans="1:16" ht="60" x14ac:dyDescent="0.25">
      <c r="A59" s="659" t="s">
        <v>152</v>
      </c>
      <c r="B59" s="660">
        <v>126345.16666666667</v>
      </c>
      <c r="C59" s="181">
        <v>12</v>
      </c>
      <c r="D59" s="182" t="s">
        <v>189</v>
      </c>
      <c r="E59" s="661">
        <f t="shared" ref="E59" si="8">+B59*C59</f>
        <v>1516142</v>
      </c>
      <c r="F59" s="1067">
        <v>1526142</v>
      </c>
      <c r="G59" s="1076">
        <f t="shared" si="0"/>
        <v>-6.5524702157466344E-3</v>
      </c>
      <c r="H59" s="1059" t="s">
        <v>331</v>
      </c>
      <c r="I59" s="206"/>
    </row>
    <row r="60" spans="1:16" ht="15.75" x14ac:dyDescent="0.25">
      <c r="A60" s="909" t="s">
        <v>437</v>
      </c>
      <c r="B60" s="660"/>
      <c r="C60" s="181"/>
      <c r="D60" s="182" t="s">
        <v>194</v>
      </c>
      <c r="E60" s="661"/>
      <c r="F60" s="1067">
        <v>410740</v>
      </c>
      <c r="G60" s="1076">
        <f t="shared" ref="G60" si="9">+(E60-F60)/F60</f>
        <v>-1</v>
      </c>
      <c r="H60" s="1059" t="s">
        <v>456</v>
      </c>
      <c r="I60" s="206"/>
    </row>
    <row r="61" spans="1:16" ht="60.75" thickBot="1" x14ac:dyDescent="0.3">
      <c r="A61" s="683" t="s">
        <v>332</v>
      </c>
      <c r="B61" s="684">
        <v>335040</v>
      </c>
      <c r="C61" s="685">
        <v>1</v>
      </c>
      <c r="D61" s="686" t="s">
        <v>194</v>
      </c>
      <c r="E61" s="687">
        <v>410740</v>
      </c>
      <c r="F61" s="1082">
        <v>0</v>
      </c>
      <c r="G61" s="1081">
        <v>1</v>
      </c>
      <c r="H61" s="1063" t="s">
        <v>333</v>
      </c>
      <c r="I61" s="206"/>
    </row>
    <row r="62" spans="1:16" ht="16.5" thickBot="1" x14ac:dyDescent="0.3">
      <c r="A62" s="146" t="s">
        <v>90</v>
      </c>
      <c r="B62" s="1054"/>
      <c r="C62" s="912"/>
      <c r="D62" s="855"/>
      <c r="E62" s="1084">
        <f>+E5+E9</f>
        <v>774071482.77999997</v>
      </c>
      <c r="F62" s="1085">
        <f>+F5+F9</f>
        <v>579771164.70000005</v>
      </c>
      <c r="G62" s="1086">
        <f>+(E62-F62)/F62</f>
        <v>0.33513277291142918</v>
      </c>
      <c r="H62" s="1083"/>
      <c r="I62" s="206"/>
    </row>
    <row r="63" spans="1:16" x14ac:dyDescent="0.25">
      <c r="F63" s="1574"/>
      <c r="G63" s="1574"/>
    </row>
    <row r="64" spans="1:16" x14ac:dyDescent="0.25">
      <c r="I64" s="206"/>
    </row>
    <row r="70" spans="6:8" x14ac:dyDescent="0.25">
      <c r="F70" s="688"/>
    </row>
    <row r="71" spans="6:8" x14ac:dyDescent="0.25">
      <c r="F71" s="688"/>
    </row>
    <row r="72" spans="6:8" x14ac:dyDescent="0.25">
      <c r="F72" s="688"/>
    </row>
    <row r="73" spans="6:8" x14ac:dyDescent="0.25">
      <c r="F73" s="688"/>
    </row>
    <row r="79" spans="6:8" x14ac:dyDescent="0.25">
      <c r="G79" s="1029"/>
      <c r="H79" s="689"/>
    </row>
  </sheetData>
  <mergeCells count="3">
    <mergeCell ref="A1:H1"/>
    <mergeCell ref="A2:H2"/>
    <mergeCell ref="F63:G63"/>
  </mergeCells>
  <printOptions horizontalCentered="1"/>
  <pageMargins left="0.19685039370078741" right="0.19685039370078741" top="0.78740157480314965" bottom="0.19685039370078741" header="0.31496062992125984" footer="0.31496062992125984"/>
  <pageSetup scale="60" fitToHeight="3" orientation="landscape" horizontalDpi="4294967294"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5"/>
  <sheetViews>
    <sheetView topLeftCell="A10" zoomScale="70" zoomScaleNormal="70" workbookViewId="0">
      <selection activeCell="F13" sqref="F13:H15"/>
    </sheetView>
  </sheetViews>
  <sheetFormatPr baseColWidth="10" defaultColWidth="11.5703125" defaultRowHeight="15" x14ac:dyDescent="0.25"/>
  <cols>
    <col min="1" max="1" width="40.28515625" style="691" customWidth="1"/>
    <col min="2" max="2" width="19.85546875" style="691" customWidth="1"/>
    <col min="3" max="3" width="13.42578125" style="691" customWidth="1"/>
    <col min="4" max="4" width="15.28515625" style="691" customWidth="1"/>
    <col min="5" max="5" width="18.28515625" style="692" customWidth="1"/>
    <col min="6" max="6" width="15.7109375" style="692" customWidth="1"/>
    <col min="7" max="7" width="16.5703125" style="693" customWidth="1"/>
    <col min="8" max="8" width="83.5703125" style="691" customWidth="1"/>
    <col min="9" max="9" width="11.5703125" style="691"/>
    <col min="10" max="10" width="17.28515625" style="691" customWidth="1"/>
    <col min="11" max="12" width="11.5703125" style="691"/>
    <col min="13" max="13" width="18.7109375" style="691" bestFit="1" customWidth="1"/>
    <col min="14" max="16384" width="11.5703125" style="691"/>
  </cols>
  <sheetData>
    <row r="1" spans="1:14" ht="15.6" customHeight="1" x14ac:dyDescent="0.25">
      <c r="A1" s="1572" t="s">
        <v>55</v>
      </c>
      <c r="B1" s="1572"/>
      <c r="C1" s="1572"/>
      <c r="D1" s="1572"/>
      <c r="E1" s="1572"/>
      <c r="F1" s="1572"/>
      <c r="G1" s="1572"/>
      <c r="H1" s="1572"/>
      <c r="I1" s="90"/>
      <c r="J1" s="90"/>
      <c r="K1" s="90"/>
      <c r="L1" s="90"/>
    </row>
    <row r="2" spans="1:14" ht="15.75" customHeight="1" x14ac:dyDescent="0.25">
      <c r="A2" s="1572" t="s">
        <v>500</v>
      </c>
      <c r="B2" s="1572"/>
      <c r="C2" s="1572"/>
      <c r="D2" s="1572"/>
      <c r="E2" s="1572"/>
      <c r="F2" s="1572"/>
      <c r="G2" s="1572"/>
      <c r="H2" s="1572"/>
      <c r="I2" s="1575"/>
      <c r="J2" s="1575"/>
      <c r="K2" s="1575"/>
      <c r="L2" s="1575"/>
    </row>
    <row r="3" spans="1:14" ht="15.75" thickBot="1" x14ac:dyDescent="0.3"/>
    <row r="4" spans="1:14" s="208" customFormat="1" ht="32.25" thickBot="1" x14ac:dyDescent="0.3">
      <c r="A4" s="210" t="s">
        <v>212</v>
      </c>
      <c r="B4" s="694" t="s">
        <v>183</v>
      </c>
      <c r="C4" s="212" t="s">
        <v>133</v>
      </c>
      <c r="D4" s="197" t="s">
        <v>341</v>
      </c>
      <c r="E4" s="213" t="s">
        <v>274</v>
      </c>
      <c r="F4" s="214" t="s">
        <v>206</v>
      </c>
      <c r="G4" s="924" t="s">
        <v>180</v>
      </c>
      <c r="H4" s="215" t="s">
        <v>185</v>
      </c>
    </row>
    <row r="5" spans="1:14" ht="15.75" x14ac:dyDescent="0.25">
      <c r="A5" s="695" t="s">
        <v>49</v>
      </c>
      <c r="B5" s="696"/>
      <c r="C5" s="697"/>
      <c r="D5" s="698"/>
      <c r="E5" s="699">
        <f>+E6+E7</f>
        <v>50514478</v>
      </c>
      <c r="F5" s="917">
        <f>+F6+F7</f>
        <v>46369525</v>
      </c>
      <c r="G5" s="925">
        <f>+IFERROR(E5/F5-1,0)</f>
        <v>8.9389593704054526E-2</v>
      </c>
      <c r="H5" s="928"/>
      <c r="J5" s="700"/>
      <c r="K5" s="700"/>
    </row>
    <row r="6" spans="1:14" ht="61.9" customHeight="1" x14ac:dyDescent="0.25">
      <c r="A6" s="190" t="s">
        <v>342</v>
      </c>
      <c r="B6" s="191">
        <f>+E6/C6</f>
        <v>3282319.0833333335</v>
      </c>
      <c r="C6" s="701">
        <v>12</v>
      </c>
      <c r="D6" s="702" t="s">
        <v>189</v>
      </c>
      <c r="E6" s="703">
        <f>+'Nomina 2019 PLANTA'!V34</f>
        <v>39387829</v>
      </c>
      <c r="F6" s="918">
        <f>35000142+2393279</f>
        <v>37393421</v>
      </c>
      <c r="G6" s="787">
        <f t="shared" ref="G6:G32" si="0">+IFERROR(E6/F6-1,0)</f>
        <v>5.3335799364278458E-2</v>
      </c>
      <c r="H6" s="929" t="s">
        <v>607</v>
      </c>
      <c r="J6" s="700"/>
      <c r="K6" s="700"/>
    </row>
    <row r="7" spans="1:14" ht="75" x14ac:dyDescent="0.25">
      <c r="A7" s="190" t="s">
        <v>343</v>
      </c>
      <c r="B7" s="191">
        <f>+E7/C7</f>
        <v>927220.75</v>
      </c>
      <c r="C7" s="701">
        <v>12</v>
      </c>
      <c r="D7" s="702" t="s">
        <v>189</v>
      </c>
      <c r="E7" s="703">
        <f>+'Nomina 2019 PLANTA'!V35</f>
        <v>11126649</v>
      </c>
      <c r="F7" s="918">
        <f>9508372-532268</f>
        <v>8976104</v>
      </c>
      <c r="G7" s="787">
        <f t="shared" si="0"/>
        <v>0.23958557075541909</v>
      </c>
      <c r="H7" s="929" t="s">
        <v>608</v>
      </c>
      <c r="J7" s="700"/>
      <c r="K7" s="700"/>
      <c r="M7" s="704"/>
    </row>
    <row r="8" spans="1:14" ht="15.75" x14ac:dyDescent="0.25">
      <c r="A8" s="125" t="s">
        <v>51</v>
      </c>
      <c r="B8" s="108"/>
      <c r="C8" s="109"/>
      <c r="D8" s="132"/>
      <c r="E8" s="705">
        <f>+E9+E17+E21+E26+E24+E19+E30</f>
        <v>22747200</v>
      </c>
      <c r="F8" s="919">
        <f>+F9+F17+F21+F26+F24</f>
        <v>7772753.3399999999</v>
      </c>
      <c r="G8" s="926">
        <f t="shared" si="0"/>
        <v>1.9265305362179421</v>
      </c>
      <c r="H8" s="930"/>
      <c r="J8" s="700"/>
      <c r="K8" s="700"/>
    </row>
    <row r="9" spans="1:14" ht="15.75" x14ac:dyDescent="0.25">
      <c r="A9" s="121" t="s">
        <v>136</v>
      </c>
      <c r="B9" s="706"/>
      <c r="C9" s="184"/>
      <c r="D9" s="185"/>
      <c r="E9" s="707">
        <f>SUM(E10:E16)</f>
        <v>8817200</v>
      </c>
      <c r="F9" s="920">
        <f>SUM(F10:F16)</f>
        <v>844406.34</v>
      </c>
      <c r="G9" s="724">
        <f t="shared" si="0"/>
        <v>9.4418922292790946</v>
      </c>
      <c r="H9" s="931"/>
      <c r="J9" s="700"/>
      <c r="K9" s="700"/>
    </row>
    <row r="10" spans="1:14" ht="30" x14ac:dyDescent="0.25">
      <c r="A10" s="124" t="s">
        <v>215</v>
      </c>
      <c r="B10" s="122">
        <v>186000</v>
      </c>
      <c r="C10" s="708">
        <v>1</v>
      </c>
      <c r="D10" s="709" t="s">
        <v>314</v>
      </c>
      <c r="E10" s="129">
        <f>+B10*C10</f>
        <v>186000</v>
      </c>
      <c r="F10" s="123">
        <v>176000</v>
      </c>
      <c r="G10" s="729">
        <f t="shared" si="0"/>
        <v>5.6818181818181879E-2</v>
      </c>
      <c r="H10" s="932" t="s">
        <v>609</v>
      </c>
      <c r="J10" s="700"/>
    </row>
    <row r="11" spans="1:14" s="711" customFormat="1" ht="38.25" customHeight="1" x14ac:dyDescent="0.25">
      <c r="A11" s="190" t="s">
        <v>344</v>
      </c>
      <c r="B11" s="191">
        <v>700000</v>
      </c>
      <c r="C11" s="701">
        <v>1</v>
      </c>
      <c r="D11" s="702" t="s">
        <v>379</v>
      </c>
      <c r="E11" s="703">
        <v>0</v>
      </c>
      <c r="F11" s="918">
        <v>668406.34</v>
      </c>
      <c r="G11" s="729">
        <f t="shared" si="0"/>
        <v>-1</v>
      </c>
      <c r="H11" s="929" t="s">
        <v>511</v>
      </c>
      <c r="J11" s="712"/>
    </row>
    <row r="12" spans="1:14" ht="30" x14ac:dyDescent="0.25">
      <c r="A12" s="124" t="s">
        <v>610</v>
      </c>
      <c r="B12" s="122">
        <v>600000</v>
      </c>
      <c r="C12" s="708">
        <v>12</v>
      </c>
      <c r="D12" s="709" t="s">
        <v>189</v>
      </c>
      <c r="E12" s="713">
        <f>+C12*B12</f>
        <v>7200000</v>
      </c>
      <c r="F12" s="1274">
        <v>0</v>
      </c>
      <c r="G12" s="729">
        <v>1</v>
      </c>
      <c r="H12" s="932" t="s">
        <v>611</v>
      </c>
    </row>
    <row r="13" spans="1:14" ht="45" x14ac:dyDescent="0.25">
      <c r="A13" s="124" t="s">
        <v>355</v>
      </c>
      <c r="B13" s="122">
        <v>290000</v>
      </c>
      <c r="C13" s="708">
        <v>1</v>
      </c>
      <c r="D13" s="709" t="s">
        <v>356</v>
      </c>
      <c r="E13" s="710">
        <f>+B13*C13</f>
        <v>290000</v>
      </c>
      <c r="F13" s="921">
        <v>0</v>
      </c>
      <c r="G13" s="729">
        <v>1</v>
      </c>
      <c r="H13" s="932" t="s">
        <v>612</v>
      </c>
    </row>
    <row r="14" spans="1:14" s="1150" customFormat="1" ht="45" x14ac:dyDescent="0.2">
      <c r="A14" s="1152" t="s">
        <v>593</v>
      </c>
      <c r="B14" s="1153">
        <v>800000</v>
      </c>
      <c r="C14" s="1159">
        <v>1</v>
      </c>
      <c r="D14" s="120" t="s">
        <v>225</v>
      </c>
      <c r="E14" s="1157">
        <f t="shared" ref="E14" si="1">+B14*C14</f>
        <v>800000</v>
      </c>
      <c r="F14" s="1274">
        <v>0</v>
      </c>
      <c r="G14" s="1022">
        <v>1</v>
      </c>
      <c r="H14" s="127" t="s">
        <v>613</v>
      </c>
      <c r="I14" s="1150" t="s">
        <v>653</v>
      </c>
      <c r="J14" s="142"/>
      <c r="K14" s="434"/>
      <c r="L14" s="1160"/>
      <c r="N14" s="142"/>
    </row>
    <row r="15" spans="1:14" ht="47.45" customHeight="1" x14ac:dyDescent="0.25">
      <c r="A15" s="124" t="s">
        <v>353</v>
      </c>
      <c r="B15" s="122">
        <v>110600</v>
      </c>
      <c r="C15" s="708">
        <v>2</v>
      </c>
      <c r="D15" s="709" t="s">
        <v>225</v>
      </c>
      <c r="E15" s="710">
        <f>+B15*C15</f>
        <v>221200</v>
      </c>
      <c r="F15" s="921">
        <v>0</v>
      </c>
      <c r="G15" s="729">
        <v>1</v>
      </c>
      <c r="H15" s="932" t="s">
        <v>354</v>
      </c>
    </row>
    <row r="16" spans="1:14" ht="45" x14ac:dyDescent="0.25">
      <c r="A16" s="124" t="s">
        <v>346</v>
      </c>
      <c r="B16" s="122">
        <v>120000</v>
      </c>
      <c r="C16" s="708">
        <v>1</v>
      </c>
      <c r="D16" s="709" t="s">
        <v>347</v>
      </c>
      <c r="E16" s="710">
        <f>+B16*C16</f>
        <v>120000</v>
      </c>
      <c r="F16" s="921">
        <v>0</v>
      </c>
      <c r="G16" s="729">
        <v>1</v>
      </c>
      <c r="H16" s="932" t="s">
        <v>348</v>
      </c>
    </row>
    <row r="17" spans="1:13" ht="15.75" x14ac:dyDescent="0.25">
      <c r="A17" s="121" t="s">
        <v>137</v>
      </c>
      <c r="B17" s="715"/>
      <c r="C17" s="716"/>
      <c r="D17" s="717"/>
      <c r="E17" s="707">
        <f>+E18</f>
        <v>1140000</v>
      </c>
      <c r="F17" s="920">
        <f>+F18</f>
        <v>1178550</v>
      </c>
      <c r="G17" s="724">
        <f t="shared" si="0"/>
        <v>-3.27096856306478E-2</v>
      </c>
      <c r="H17" s="931"/>
      <c r="J17" s="700"/>
    </row>
    <row r="18" spans="1:13" ht="30" x14ac:dyDescent="0.25">
      <c r="A18" s="124" t="s">
        <v>138</v>
      </c>
      <c r="B18" s="122">
        <v>95000</v>
      </c>
      <c r="C18" s="188">
        <v>12</v>
      </c>
      <c r="D18" s="120" t="s">
        <v>189</v>
      </c>
      <c r="E18" s="718">
        <f>+B18*C18</f>
        <v>1140000</v>
      </c>
      <c r="F18" s="922">
        <v>1178550</v>
      </c>
      <c r="G18" s="729">
        <f t="shared" si="0"/>
        <v>-3.27096856306478E-2</v>
      </c>
      <c r="H18" s="933" t="s">
        <v>614</v>
      </c>
      <c r="J18" s="700"/>
      <c r="M18" s="714"/>
    </row>
    <row r="19" spans="1:13" s="84" customFormat="1" ht="15.75" x14ac:dyDescent="0.25">
      <c r="A19" s="659" t="s">
        <v>318</v>
      </c>
      <c r="B19" s="660"/>
      <c r="C19" s="181"/>
      <c r="D19" s="182"/>
      <c r="E19" s="661">
        <f>SUM(E20:E20)</f>
        <v>30000</v>
      </c>
      <c r="F19" s="662">
        <f>SUM(F20:F20)</f>
        <v>0</v>
      </c>
      <c r="G19" s="1031">
        <v>1</v>
      </c>
      <c r="H19" s="934"/>
      <c r="I19" s="206"/>
    </row>
    <row r="20" spans="1:13" s="84" customFormat="1" ht="45" x14ac:dyDescent="0.25">
      <c r="A20" s="124" t="s">
        <v>432</v>
      </c>
      <c r="B20" s="122">
        <v>30000</v>
      </c>
      <c r="C20" s="187">
        <v>1</v>
      </c>
      <c r="D20" s="120" t="s">
        <v>194</v>
      </c>
      <c r="E20" s="129">
        <f t="shared" ref="E20" si="2">+B20*C20</f>
        <v>30000</v>
      </c>
      <c r="F20" s="203">
        <v>0</v>
      </c>
      <c r="G20" s="729">
        <v>1</v>
      </c>
      <c r="H20" s="861" t="s">
        <v>335</v>
      </c>
      <c r="I20" s="206"/>
    </row>
    <row r="21" spans="1:13" ht="15.75" x14ac:dyDescent="0.25">
      <c r="A21" s="121" t="s">
        <v>145</v>
      </c>
      <c r="B21" s="715"/>
      <c r="C21" s="719"/>
      <c r="D21" s="720"/>
      <c r="E21" s="707">
        <f>SUM(E22:E23)</f>
        <v>8200000</v>
      </c>
      <c r="F21" s="920">
        <f>SUM(F22:F23)</f>
        <v>5399559</v>
      </c>
      <c r="G21" s="724">
        <f t="shared" si="0"/>
        <v>0.51864254099269957</v>
      </c>
      <c r="H21" s="931"/>
      <c r="J21" s="700"/>
    </row>
    <row r="22" spans="1:13" ht="60" x14ac:dyDescent="0.25">
      <c r="A22" s="124" t="s">
        <v>146</v>
      </c>
      <c r="B22" s="1151">
        <v>700000</v>
      </c>
      <c r="C22" s="1159">
        <v>6</v>
      </c>
      <c r="D22" s="721" t="s">
        <v>323</v>
      </c>
      <c r="E22" s="710">
        <f>+B22*C22</f>
        <v>4200000</v>
      </c>
      <c r="F22" s="922">
        <v>2702654</v>
      </c>
      <c r="G22" s="729">
        <f>+IFERROR(E22/F22-1,0)</f>
        <v>0.55402800358462456</v>
      </c>
      <c r="H22" s="933" t="s">
        <v>615</v>
      </c>
      <c r="J22" s="700"/>
    </row>
    <row r="23" spans="1:13" ht="60" x14ac:dyDescent="0.25">
      <c r="A23" s="124" t="s">
        <v>349</v>
      </c>
      <c r="B23" s="1151">
        <v>500000</v>
      </c>
      <c r="C23" s="1159">
        <v>8</v>
      </c>
      <c r="D23" s="721" t="s">
        <v>147</v>
      </c>
      <c r="E23" s="710">
        <f>+B23*C23</f>
        <v>4000000</v>
      </c>
      <c r="F23" s="922">
        <v>2696905</v>
      </c>
      <c r="G23" s="729">
        <f>+IFERROR(E23/F23-1,0)</f>
        <v>0.48318164711029876</v>
      </c>
      <c r="H23" s="933" t="s">
        <v>616</v>
      </c>
      <c r="J23" s="700"/>
    </row>
    <row r="24" spans="1:13" ht="15.75" x14ac:dyDescent="0.25">
      <c r="A24" s="121" t="s">
        <v>350</v>
      </c>
      <c r="B24" s="722"/>
      <c r="C24" s="723"/>
      <c r="D24" s="185"/>
      <c r="E24" s="707">
        <f>+E25</f>
        <v>4000000</v>
      </c>
      <c r="F24" s="920">
        <f>+F25</f>
        <v>0</v>
      </c>
      <c r="G24" s="724">
        <v>1</v>
      </c>
      <c r="H24" s="725"/>
      <c r="J24" s="700"/>
    </row>
    <row r="25" spans="1:13" ht="45" x14ac:dyDescent="0.25">
      <c r="A25" s="726" t="s">
        <v>351</v>
      </c>
      <c r="B25" s="122">
        <v>4000</v>
      </c>
      <c r="C25" s="187">
        <v>1000</v>
      </c>
      <c r="D25" s="120" t="s">
        <v>196</v>
      </c>
      <c r="E25" s="727">
        <f>+B25*C25</f>
        <v>4000000</v>
      </c>
      <c r="F25" s="728">
        <v>0</v>
      </c>
      <c r="G25" s="729">
        <v>1</v>
      </c>
      <c r="H25" s="730" t="s">
        <v>352</v>
      </c>
      <c r="J25" s="700"/>
    </row>
    <row r="26" spans="1:13" ht="15.75" x14ac:dyDescent="0.25">
      <c r="A26" s="121" t="s">
        <v>460</v>
      </c>
      <c r="B26" s="715"/>
      <c r="C26" s="719"/>
      <c r="D26" s="720"/>
      <c r="E26" s="707">
        <f>+E27</f>
        <v>80000</v>
      </c>
      <c r="F26" s="920">
        <f>+F27</f>
        <v>350238</v>
      </c>
      <c r="G26" s="724">
        <f t="shared" si="0"/>
        <v>-0.77158389438039277</v>
      </c>
      <c r="H26" s="931"/>
      <c r="J26" s="700"/>
    </row>
    <row r="27" spans="1:13" ht="15.75" x14ac:dyDescent="0.25">
      <c r="A27" s="731" t="s">
        <v>427</v>
      </c>
      <c r="B27" s="178"/>
      <c r="C27" s="732"/>
      <c r="D27" s="733"/>
      <c r="E27" s="734">
        <f>SUM(E28:E29)</f>
        <v>80000</v>
      </c>
      <c r="F27" s="923">
        <f>SUM(F28:F29)</f>
        <v>350238</v>
      </c>
      <c r="G27" s="927">
        <f t="shared" si="0"/>
        <v>-0.77158389438039277</v>
      </c>
      <c r="H27" s="935"/>
      <c r="J27" s="700"/>
    </row>
    <row r="28" spans="1:13" ht="30" x14ac:dyDescent="0.25">
      <c r="A28" s="190" t="s">
        <v>340</v>
      </c>
      <c r="B28" s="191">
        <v>0</v>
      </c>
      <c r="C28" s="432">
        <v>1</v>
      </c>
      <c r="D28" s="433" t="s">
        <v>217</v>
      </c>
      <c r="E28" s="201">
        <f>+B28*C28</f>
        <v>0</v>
      </c>
      <c r="F28" s="204">
        <v>132000</v>
      </c>
      <c r="G28" s="787">
        <f t="shared" si="0"/>
        <v>-1</v>
      </c>
      <c r="H28" s="1275" t="s">
        <v>464</v>
      </c>
    </row>
    <row r="29" spans="1:13" ht="62.45" customHeight="1" x14ac:dyDescent="0.25">
      <c r="A29" s="190" t="s">
        <v>150</v>
      </c>
      <c r="B29" s="191">
        <v>80000</v>
      </c>
      <c r="C29" s="432">
        <v>1</v>
      </c>
      <c r="D29" s="433" t="s">
        <v>530</v>
      </c>
      <c r="E29" s="201">
        <f>+B29*C29</f>
        <v>80000</v>
      </c>
      <c r="F29" s="204">
        <v>218238</v>
      </c>
      <c r="G29" s="787">
        <f t="shared" si="0"/>
        <v>-0.6334277256939671</v>
      </c>
      <c r="H29" s="1275" t="s">
        <v>617</v>
      </c>
    </row>
    <row r="30" spans="1:13" ht="15.75" x14ac:dyDescent="0.25">
      <c r="A30" s="1162" t="s">
        <v>381</v>
      </c>
      <c r="B30" s="1166"/>
      <c r="C30" s="1167"/>
      <c r="D30" s="1163"/>
      <c r="E30" s="1168">
        <f>+E31</f>
        <v>480000</v>
      </c>
      <c r="F30" s="1169">
        <f>+F31</f>
        <v>0</v>
      </c>
      <c r="G30" s="1170">
        <v>0</v>
      </c>
      <c r="H30" s="1164"/>
      <c r="I30" s="1161"/>
      <c r="J30" s="1165"/>
      <c r="K30" s="1161"/>
      <c r="L30" s="1161"/>
      <c r="M30" s="1161"/>
    </row>
    <row r="31" spans="1:13" ht="45.75" thickBot="1" x14ac:dyDescent="0.3">
      <c r="A31" s="1286" t="s">
        <v>382</v>
      </c>
      <c r="B31" s="1287">
        <v>40000</v>
      </c>
      <c r="C31" s="1288">
        <v>12</v>
      </c>
      <c r="D31" s="1289" t="s">
        <v>189</v>
      </c>
      <c r="E31" s="1290">
        <v>480000</v>
      </c>
      <c r="F31" s="1291">
        <v>0</v>
      </c>
      <c r="G31" s="1292">
        <v>0</v>
      </c>
      <c r="H31" s="1293" t="s">
        <v>490</v>
      </c>
      <c r="I31" s="1161"/>
      <c r="J31" s="1161"/>
      <c r="K31" s="1161"/>
      <c r="L31" s="1161"/>
      <c r="M31" s="1161"/>
    </row>
    <row r="32" spans="1:13" ht="16.5" thickBot="1" x14ac:dyDescent="0.3">
      <c r="A32" s="1294" t="s">
        <v>90</v>
      </c>
      <c r="B32" s="1295"/>
      <c r="C32" s="1296"/>
      <c r="D32" s="1297"/>
      <c r="E32" s="1298">
        <f>+E8+E5</f>
        <v>73261678</v>
      </c>
      <c r="F32" s="1298">
        <f>+F8+F5</f>
        <v>54142278.340000004</v>
      </c>
      <c r="G32" s="1299">
        <f t="shared" si="0"/>
        <v>0.35313252870399969</v>
      </c>
      <c r="H32" s="1300"/>
      <c r="J32" s="700"/>
    </row>
    <row r="33" spans="1:13" x14ac:dyDescent="0.25">
      <c r="E33" s="735"/>
      <c r="F33" s="735"/>
    </row>
    <row r="34" spans="1:13" x14ac:dyDescent="0.25">
      <c r="E34" s="736"/>
    </row>
    <row r="35" spans="1:13" x14ac:dyDescent="0.25">
      <c r="E35" s="735"/>
    </row>
    <row r="36" spans="1:13" x14ac:dyDescent="0.25">
      <c r="E36" s="735"/>
      <c r="F36" s="735"/>
      <c r="G36" s="1032"/>
    </row>
    <row r="43" spans="1:13" x14ac:dyDescent="0.25">
      <c r="E43" s="737"/>
    </row>
    <row r="45" spans="1:13" s="692" customFormat="1" x14ac:dyDescent="0.25">
      <c r="A45" s="691"/>
      <c r="B45" s="691"/>
      <c r="C45" s="691"/>
      <c r="D45" s="691"/>
      <c r="E45" s="737"/>
      <c r="G45" s="693"/>
      <c r="H45" s="691"/>
      <c r="I45" s="691"/>
      <c r="J45" s="691"/>
      <c r="K45" s="691"/>
      <c r="L45" s="691"/>
      <c r="M45" s="691"/>
    </row>
  </sheetData>
  <mergeCells count="3">
    <mergeCell ref="A1:H1"/>
    <mergeCell ref="A2:H2"/>
    <mergeCell ref="I2:L2"/>
  </mergeCells>
  <printOptions horizontalCentered="1"/>
  <pageMargins left="0.19685039370078741" right="0.19685039370078741" top="0.39370078740157483" bottom="0.19685039370078741" header="0.31496062992125984" footer="0.31496062992125984"/>
  <pageSetup scale="60" orientation="landscape" horizontalDpi="4294967293"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63"/>
  <sheetViews>
    <sheetView topLeftCell="A22" zoomScale="70" zoomScaleNormal="70" workbookViewId="0">
      <selection activeCell="F13" sqref="F13:H15"/>
    </sheetView>
  </sheetViews>
  <sheetFormatPr baseColWidth="10" defaultColWidth="20.28515625" defaultRowHeight="15.75" x14ac:dyDescent="0.25"/>
  <cols>
    <col min="1" max="1" width="40.42578125" style="84" customWidth="1"/>
    <col min="2" max="2" width="16.7109375" style="900" customWidth="1"/>
    <col min="3" max="3" width="14.140625" style="837" customWidth="1"/>
    <col min="4" max="4" width="20.5703125" style="481" customWidth="1"/>
    <col min="5" max="5" width="20.28515625" style="677" customWidth="1"/>
    <col min="6" max="6" width="19.28515625" style="481" customWidth="1"/>
    <col min="7" max="7" width="16.28515625" style="1033" customWidth="1"/>
    <col min="8" max="8" width="97.140625" style="884" customWidth="1"/>
    <col min="9" max="9" width="20.28515625" style="765"/>
    <col min="10" max="10" width="21.5703125" style="765" bestFit="1" customWidth="1"/>
    <col min="11" max="16384" width="20.28515625" style="765"/>
  </cols>
  <sheetData>
    <row r="1" spans="1:13" ht="15.6" customHeight="1" x14ac:dyDescent="0.25">
      <c r="A1" s="1572" t="s">
        <v>55</v>
      </c>
      <c r="B1" s="1572"/>
      <c r="C1" s="1572"/>
      <c r="D1" s="1572"/>
      <c r="E1" s="1572"/>
      <c r="F1" s="1572"/>
      <c r="G1" s="1572"/>
      <c r="H1" s="1572"/>
    </row>
    <row r="2" spans="1:13" ht="21" customHeight="1" x14ac:dyDescent="0.25">
      <c r="A2" s="1576" t="s">
        <v>618</v>
      </c>
      <c r="B2" s="1576"/>
      <c r="C2" s="1576"/>
      <c r="D2" s="1576"/>
      <c r="E2" s="1576"/>
      <c r="F2" s="1576"/>
      <c r="G2" s="1576"/>
      <c r="H2" s="1576"/>
    </row>
    <row r="3" spans="1:13" ht="16.5" thickBot="1" x14ac:dyDescent="0.3">
      <c r="B3" s="850"/>
      <c r="C3" s="849"/>
      <c r="D3" s="850"/>
      <c r="E3" s="851"/>
      <c r="F3" s="850"/>
      <c r="G3" s="841"/>
      <c r="H3" s="765"/>
    </row>
    <row r="4" spans="1:13" s="772" customFormat="1" ht="32.25" thickBot="1" x14ac:dyDescent="0.3">
      <c r="A4" s="852" t="s">
        <v>212</v>
      </c>
      <c r="B4" s="853" t="s">
        <v>395</v>
      </c>
      <c r="C4" s="854" t="s">
        <v>133</v>
      </c>
      <c r="D4" s="963" t="s">
        <v>188</v>
      </c>
      <c r="E4" s="964" t="s">
        <v>396</v>
      </c>
      <c r="F4" s="1182" t="s">
        <v>374</v>
      </c>
      <c r="G4" s="1269" t="s">
        <v>180</v>
      </c>
      <c r="H4" s="965" t="s">
        <v>182</v>
      </c>
    </row>
    <row r="5" spans="1:13" x14ac:dyDescent="0.25">
      <c r="A5" s="856" t="s">
        <v>49</v>
      </c>
      <c r="B5" s="886"/>
      <c r="C5" s="857"/>
      <c r="D5" s="960"/>
      <c r="E5" s="961">
        <f>SUM(E6:E14)</f>
        <v>277642793.75</v>
      </c>
      <c r="F5" s="1179">
        <f>SUM(F6:F14)</f>
        <v>1022636235</v>
      </c>
      <c r="G5" s="1183">
        <f t="shared" ref="G5:G23" si="0">(E5-F5)/F5</f>
        <v>-0.72850287888537413</v>
      </c>
      <c r="H5" s="962"/>
      <c r="I5" s="858"/>
      <c r="J5" s="858"/>
      <c r="K5" s="859"/>
    </row>
    <row r="6" spans="1:13" ht="45" x14ac:dyDescent="0.25">
      <c r="A6" s="789" t="s">
        <v>375</v>
      </c>
      <c r="B6" s="887">
        <f>+E6/C6</f>
        <v>6400238.833333333</v>
      </c>
      <c r="C6" s="860">
        <v>12</v>
      </c>
      <c r="D6" s="951" t="s">
        <v>189</v>
      </c>
      <c r="E6" s="943">
        <f>+'Nomina 2019 PLANTA'!V40</f>
        <v>76802866</v>
      </c>
      <c r="F6" s="1272">
        <v>74207388</v>
      </c>
      <c r="G6" s="1189">
        <f>(E6-F6)/F6</f>
        <v>3.4976005354076065E-2</v>
      </c>
      <c r="H6" s="1306" t="s">
        <v>462</v>
      </c>
      <c r="I6" s="858"/>
      <c r="J6" s="858"/>
      <c r="K6" s="859"/>
    </row>
    <row r="7" spans="1:13" ht="30" x14ac:dyDescent="0.25">
      <c r="A7" s="789" t="s">
        <v>397</v>
      </c>
      <c r="B7" s="887">
        <v>0</v>
      </c>
      <c r="C7" s="860">
        <v>0</v>
      </c>
      <c r="D7" s="951" t="s">
        <v>398</v>
      </c>
      <c r="E7" s="943">
        <v>0</v>
      </c>
      <c r="F7" s="1272">
        <v>76959300</v>
      </c>
      <c r="G7" s="1189">
        <f t="shared" si="0"/>
        <v>-1</v>
      </c>
      <c r="H7" s="1305" t="s">
        <v>426</v>
      </c>
      <c r="I7" s="858"/>
      <c r="J7" s="858"/>
      <c r="K7" s="859"/>
    </row>
    <row r="8" spans="1:13" ht="75" x14ac:dyDescent="0.25">
      <c r="A8" s="789" t="s">
        <v>399</v>
      </c>
      <c r="B8" s="887">
        <f>+E8/C8</f>
        <v>3291384.5</v>
      </c>
      <c r="C8" s="860">
        <v>12</v>
      </c>
      <c r="D8" s="1194" t="s">
        <v>531</v>
      </c>
      <c r="E8" s="943">
        <f>+'Nomina 2019 PLANTA'!AB42</f>
        <v>39496614</v>
      </c>
      <c r="F8" s="1187">
        <f>800657156-2695797</f>
        <v>797961359</v>
      </c>
      <c r="G8" s="1189">
        <f t="shared" si="0"/>
        <v>-0.95050309948655043</v>
      </c>
      <c r="H8" s="1304" t="s">
        <v>619</v>
      </c>
      <c r="I8" s="858"/>
      <c r="J8" s="858"/>
      <c r="K8" s="859"/>
    </row>
    <row r="9" spans="1:13" ht="62.45" customHeight="1" x14ac:dyDescent="0.25">
      <c r="A9" s="789" t="s">
        <v>400</v>
      </c>
      <c r="B9" s="887">
        <f>+E9/C9</f>
        <v>1838312.3333333333</v>
      </c>
      <c r="C9" s="860">
        <v>12</v>
      </c>
      <c r="D9" s="951" t="s">
        <v>189</v>
      </c>
      <c r="E9" s="943">
        <f>+'Nomina 2019 PLANTA'!T41</f>
        <v>22059748</v>
      </c>
      <c r="F9" s="1272">
        <v>21295088</v>
      </c>
      <c r="G9" s="1189">
        <f>(E9-F9)/F9</f>
        <v>3.5907811228580035E-2</v>
      </c>
      <c r="H9" s="1304" t="s">
        <v>510</v>
      </c>
      <c r="I9" s="858"/>
      <c r="J9" s="858"/>
      <c r="K9" s="859"/>
    </row>
    <row r="10" spans="1:13" s="1193" customFormat="1" ht="60" x14ac:dyDescent="0.25">
      <c r="A10" s="1204" t="s">
        <v>459</v>
      </c>
      <c r="B10" s="1208">
        <v>5775000</v>
      </c>
      <c r="C10" s="1205">
        <v>24</v>
      </c>
      <c r="D10" s="1209" t="s">
        <v>508</v>
      </c>
      <c r="E10" s="1376">
        <f>+B10*C10</f>
        <v>138600000</v>
      </c>
      <c r="F10" s="1187">
        <v>0</v>
      </c>
      <c r="G10" s="1189">
        <v>1</v>
      </c>
      <c r="H10" s="1305" t="s">
        <v>620</v>
      </c>
      <c r="I10" s="1206"/>
      <c r="J10" s="1206"/>
      <c r="K10" s="1207"/>
      <c r="L10" s="1203"/>
      <c r="M10" s="1203"/>
    </row>
    <row r="11" spans="1:13" ht="15" x14ac:dyDescent="0.25">
      <c r="A11" s="789" t="s">
        <v>401</v>
      </c>
      <c r="B11" s="887">
        <v>0</v>
      </c>
      <c r="C11" s="790">
        <v>0</v>
      </c>
      <c r="D11" s="951" t="s">
        <v>189</v>
      </c>
      <c r="E11" s="943">
        <v>0</v>
      </c>
      <c r="F11" s="1187">
        <v>7705600</v>
      </c>
      <c r="G11" s="1197">
        <f t="shared" si="0"/>
        <v>-1</v>
      </c>
      <c r="H11" s="1303" t="s">
        <v>426</v>
      </c>
      <c r="I11" s="858"/>
      <c r="J11" s="858"/>
      <c r="K11" s="859"/>
    </row>
    <row r="12" spans="1:13" ht="15" x14ac:dyDescent="0.25">
      <c r="A12" s="789" t="s">
        <v>402</v>
      </c>
      <c r="B12" s="887">
        <v>0</v>
      </c>
      <c r="C12" s="790">
        <v>0</v>
      </c>
      <c r="D12" s="951" t="s">
        <v>189</v>
      </c>
      <c r="E12" s="943">
        <v>0</v>
      </c>
      <c r="F12" s="1187">
        <v>20000000</v>
      </c>
      <c r="G12" s="1197">
        <f t="shared" si="0"/>
        <v>-1</v>
      </c>
      <c r="H12" s="1303" t="s">
        <v>426</v>
      </c>
      <c r="I12" s="858"/>
      <c r="J12" s="858"/>
      <c r="K12" s="859"/>
    </row>
    <row r="13" spans="1:13" ht="15" x14ac:dyDescent="0.25">
      <c r="A13" s="789" t="s">
        <v>403</v>
      </c>
      <c r="B13" s="887">
        <f>+E13/C13</f>
        <v>0</v>
      </c>
      <c r="C13" s="790">
        <v>3</v>
      </c>
      <c r="D13" s="1377" t="s">
        <v>189</v>
      </c>
      <c r="E13" s="943">
        <v>0</v>
      </c>
      <c r="F13" s="1187">
        <v>23857500</v>
      </c>
      <c r="G13" s="1197">
        <f t="shared" si="0"/>
        <v>-1</v>
      </c>
      <c r="H13" s="1308" t="s">
        <v>426</v>
      </c>
      <c r="I13" s="858"/>
      <c r="J13" s="858"/>
      <c r="K13" s="859"/>
    </row>
    <row r="14" spans="1:13" ht="30" x14ac:dyDescent="0.25">
      <c r="A14" s="789" t="s">
        <v>135</v>
      </c>
      <c r="B14" s="888">
        <f>+E14/C14</f>
        <v>227855.25</v>
      </c>
      <c r="C14" s="860">
        <v>3</v>
      </c>
      <c r="D14" s="952" t="s">
        <v>192</v>
      </c>
      <c r="E14" s="943">
        <f>+'Nomina 2019 PLANTA'!U41</f>
        <v>683565.75</v>
      </c>
      <c r="F14" s="1272">
        <v>650000</v>
      </c>
      <c r="G14" s="1197">
        <f t="shared" si="0"/>
        <v>5.1639615384615388E-2</v>
      </c>
      <c r="H14" s="1307" t="s">
        <v>463</v>
      </c>
      <c r="I14" s="858"/>
      <c r="J14" s="859"/>
      <c r="L14" s="858"/>
      <c r="M14" s="859"/>
    </row>
    <row r="15" spans="1:13" x14ac:dyDescent="0.25">
      <c r="A15" s="778" t="s">
        <v>51</v>
      </c>
      <c r="B15" s="889"/>
      <c r="C15" s="780"/>
      <c r="D15" s="953"/>
      <c r="E15" s="944" t="e">
        <f>+E21+E28+E34+E40+E41+E44+E46+#REF!+E16</f>
        <v>#REF!</v>
      </c>
      <c r="F15" s="1270" t="e">
        <f>+F21+F28+F34+F40+F41+F44+F46+#REF!+F16</f>
        <v>#REF!</v>
      </c>
      <c r="G15" s="1175" t="e">
        <f t="shared" si="0"/>
        <v>#REF!</v>
      </c>
      <c r="H15" s="938"/>
      <c r="I15" s="858"/>
      <c r="J15" s="859"/>
      <c r="L15" s="858"/>
      <c r="M15" s="859"/>
    </row>
    <row r="16" spans="1:13" s="1245" customFormat="1" x14ac:dyDescent="0.25">
      <c r="A16" s="1214" t="s">
        <v>460</v>
      </c>
      <c r="B16" s="1252"/>
      <c r="C16" s="1244"/>
      <c r="D16" s="1265"/>
      <c r="E16" s="1260">
        <f>+E17</f>
        <v>0</v>
      </c>
      <c r="F16" s="1271">
        <f>+F17</f>
        <v>22277891</v>
      </c>
      <c r="G16" s="1186">
        <f t="shared" ref="G16" si="1">(E16-F16)/F16</f>
        <v>-1</v>
      </c>
      <c r="H16" s="1258"/>
      <c r="I16" s="1248"/>
      <c r="J16" s="1249"/>
      <c r="L16" s="1248"/>
      <c r="M16" s="1249"/>
    </row>
    <row r="17" spans="1:13" s="1245" customFormat="1" x14ac:dyDescent="0.25">
      <c r="A17" s="1246" t="s">
        <v>427</v>
      </c>
      <c r="B17" s="1253"/>
      <c r="C17" s="1247"/>
      <c r="D17" s="1266"/>
      <c r="E17" s="1261">
        <f>SUM(E18:E20)</f>
        <v>0</v>
      </c>
      <c r="F17" s="1190">
        <f>SUM(F18:F20)</f>
        <v>22277891</v>
      </c>
      <c r="G17" s="1181">
        <f t="shared" ref="G17:G18" si="2">(E17-F17)/F17</f>
        <v>-1</v>
      </c>
      <c r="H17" s="1259"/>
      <c r="I17" s="1248"/>
      <c r="J17" s="1249"/>
      <c r="L17" s="1248"/>
      <c r="M17" s="1249"/>
    </row>
    <row r="18" spans="1:13" s="1245" customFormat="1" ht="22.9" customHeight="1" x14ac:dyDescent="0.25">
      <c r="A18" s="1215" t="s">
        <v>146</v>
      </c>
      <c r="B18" s="1254">
        <v>650000</v>
      </c>
      <c r="C18" s="1220">
        <v>9</v>
      </c>
      <c r="D18" s="1264" t="s">
        <v>171</v>
      </c>
      <c r="E18" s="1262">
        <v>0</v>
      </c>
      <c r="F18" s="1185">
        <v>5849037</v>
      </c>
      <c r="G18" s="1201">
        <f t="shared" si="2"/>
        <v>-1</v>
      </c>
      <c r="H18" s="1276" t="s">
        <v>426</v>
      </c>
      <c r="I18" s="1248"/>
      <c r="J18" s="1249"/>
      <c r="L18" s="1248"/>
      <c r="M18" s="1249"/>
    </row>
    <row r="19" spans="1:13" s="1245" customFormat="1" ht="22.9" customHeight="1" x14ac:dyDescent="0.25">
      <c r="A19" s="1229" t="s">
        <v>408</v>
      </c>
      <c r="B19" s="1255">
        <v>1000000</v>
      </c>
      <c r="C19" s="1226">
        <v>1</v>
      </c>
      <c r="D19" s="1267" t="s">
        <v>409</v>
      </c>
      <c r="E19" s="1262">
        <v>0</v>
      </c>
      <c r="F19" s="1185">
        <v>600000</v>
      </c>
      <c r="G19" s="1192">
        <f>(E19-F19)/F19</f>
        <v>-1</v>
      </c>
      <c r="H19" s="1276" t="s">
        <v>426</v>
      </c>
      <c r="I19" s="1248"/>
      <c r="J19" s="1248"/>
      <c r="K19" s="1249"/>
    </row>
    <row r="20" spans="1:13" s="1245" customFormat="1" ht="30" x14ac:dyDescent="0.25">
      <c r="A20" s="1215" t="s">
        <v>621</v>
      </c>
      <c r="B20" s="1254">
        <v>220000</v>
      </c>
      <c r="C20" s="1220">
        <v>108</v>
      </c>
      <c r="D20" s="1264" t="s">
        <v>621</v>
      </c>
      <c r="E20" s="1262">
        <v>0</v>
      </c>
      <c r="F20" s="1185">
        <v>15828854</v>
      </c>
      <c r="G20" s="1201">
        <f>(E20-F20)/F20</f>
        <v>-1</v>
      </c>
      <c r="H20" s="1276" t="s">
        <v>426</v>
      </c>
      <c r="I20" s="1248"/>
      <c r="J20" s="864"/>
      <c r="K20" s="1250"/>
      <c r="L20" s="1251"/>
      <c r="M20" s="1251"/>
    </row>
    <row r="21" spans="1:13" x14ac:dyDescent="0.25">
      <c r="A21" s="121" t="s">
        <v>461</v>
      </c>
      <c r="B21" s="890"/>
      <c r="C21" s="723"/>
      <c r="D21" s="954"/>
      <c r="E21" s="945">
        <f>+E22+E24</f>
        <v>0</v>
      </c>
      <c r="F21" s="1184">
        <f>+F22+F24</f>
        <v>46949348</v>
      </c>
      <c r="G21" s="1186">
        <f t="shared" si="0"/>
        <v>-1</v>
      </c>
      <c r="H21" s="939"/>
      <c r="I21" s="858"/>
      <c r="J21" s="859"/>
      <c r="L21" s="858"/>
      <c r="M21" s="859"/>
    </row>
    <row r="22" spans="1:13" x14ac:dyDescent="0.25">
      <c r="A22" s="794" t="s">
        <v>405</v>
      </c>
      <c r="B22" s="891"/>
      <c r="C22" s="795"/>
      <c r="D22" s="955"/>
      <c r="E22" s="946">
        <f>SUM(E23:E23)</f>
        <v>0</v>
      </c>
      <c r="F22" s="1190">
        <f>SUM(F23:F23)</f>
        <v>27599981</v>
      </c>
      <c r="G22" s="1181">
        <f t="shared" si="0"/>
        <v>-1</v>
      </c>
      <c r="H22" s="940"/>
      <c r="I22" s="858"/>
      <c r="J22" s="859"/>
      <c r="L22" s="858"/>
      <c r="M22" s="859"/>
    </row>
    <row r="23" spans="1:13" s="863" customFormat="1" ht="15" x14ac:dyDescent="0.25">
      <c r="A23" s="862" t="s">
        <v>406</v>
      </c>
      <c r="B23" s="892">
        <v>0</v>
      </c>
      <c r="C23" s="187">
        <v>320</v>
      </c>
      <c r="D23" s="952" t="s">
        <v>407</v>
      </c>
      <c r="E23" s="947">
        <f>+B23*C23</f>
        <v>0</v>
      </c>
      <c r="F23" s="1195">
        <v>27599981</v>
      </c>
      <c r="G23" s="1201">
        <f t="shared" si="0"/>
        <v>-1</v>
      </c>
      <c r="H23" s="1308" t="s">
        <v>426</v>
      </c>
      <c r="I23" s="858"/>
      <c r="J23" s="859"/>
      <c r="K23" s="765"/>
      <c r="L23" s="858"/>
      <c r="M23" s="859"/>
    </row>
    <row r="24" spans="1:13" x14ac:dyDescent="0.25">
      <c r="A24" s="794" t="s">
        <v>410</v>
      </c>
      <c r="B24" s="893"/>
      <c r="C24" s="865"/>
      <c r="D24" s="957"/>
      <c r="E24" s="948">
        <f>SUM(E25:E27)</f>
        <v>0</v>
      </c>
      <c r="F24" s="1200">
        <f>SUM(F25:F27)</f>
        <v>19349367</v>
      </c>
      <c r="G24" s="1181">
        <f>SUM(G25:G27)</f>
        <v>-3</v>
      </c>
      <c r="H24" s="941"/>
      <c r="I24" s="858"/>
      <c r="J24" s="866"/>
      <c r="K24" s="859"/>
    </row>
    <row r="25" spans="1:13" ht="15" x14ac:dyDescent="0.25">
      <c r="A25" s="867" t="s">
        <v>411</v>
      </c>
      <c r="B25" s="892">
        <v>0</v>
      </c>
      <c r="C25" s="187">
        <v>85</v>
      </c>
      <c r="D25" s="952" t="s">
        <v>412</v>
      </c>
      <c r="E25" s="947">
        <f>+B25*C25</f>
        <v>0</v>
      </c>
      <c r="F25" s="1195">
        <v>8994548</v>
      </c>
      <c r="G25" s="1196">
        <f>(E25-F25)/F25</f>
        <v>-1</v>
      </c>
      <c r="H25" s="1308" t="s">
        <v>426</v>
      </c>
      <c r="I25" s="858"/>
      <c r="J25" s="858"/>
      <c r="K25" s="859"/>
    </row>
    <row r="26" spans="1:13" s="869" customFormat="1" ht="15" x14ac:dyDescent="0.25">
      <c r="A26" s="190" t="s">
        <v>413</v>
      </c>
      <c r="B26" s="892">
        <v>0</v>
      </c>
      <c r="C26" s="432">
        <v>25</v>
      </c>
      <c r="D26" s="956" t="s">
        <v>224</v>
      </c>
      <c r="E26" s="947">
        <f>+B26*C26</f>
        <v>0</v>
      </c>
      <c r="F26" s="1195">
        <v>4683947</v>
      </c>
      <c r="G26" s="1196">
        <f t="shared" ref="G26:G52" si="3">(E26-F26)/F26</f>
        <v>-1</v>
      </c>
      <c r="H26" s="1308" t="s">
        <v>426</v>
      </c>
      <c r="I26" s="858"/>
      <c r="J26" s="868"/>
      <c r="K26" s="859"/>
    </row>
    <row r="27" spans="1:13" ht="15" x14ac:dyDescent="0.25">
      <c r="A27" s="110" t="s">
        <v>410</v>
      </c>
      <c r="B27" s="892">
        <v>0</v>
      </c>
      <c r="C27" s="187">
        <v>1</v>
      </c>
      <c r="D27" s="952" t="s">
        <v>414</v>
      </c>
      <c r="E27" s="947">
        <f>+B27*C27</f>
        <v>0</v>
      </c>
      <c r="F27" s="1195">
        <v>5670872</v>
      </c>
      <c r="G27" s="1196">
        <f t="shared" si="3"/>
        <v>-1</v>
      </c>
      <c r="H27" s="1308" t="s">
        <v>426</v>
      </c>
      <c r="I27" s="858"/>
      <c r="J27" s="858"/>
      <c r="K27" s="859"/>
    </row>
    <row r="28" spans="1:13" x14ac:dyDescent="0.25">
      <c r="A28" s="121" t="s">
        <v>377</v>
      </c>
      <c r="B28" s="894"/>
      <c r="C28" s="181"/>
      <c r="D28" s="958"/>
      <c r="E28" s="1198">
        <f>SUM(E29:E32)</f>
        <v>3061200</v>
      </c>
      <c r="F28" s="1198">
        <f>SUM(F30:F31)</f>
        <v>0</v>
      </c>
      <c r="G28" s="1177" t="e">
        <f t="shared" si="3"/>
        <v>#DIV/0!</v>
      </c>
      <c r="H28" s="942"/>
      <c r="I28" s="858"/>
      <c r="J28" s="858"/>
      <c r="K28" s="859"/>
    </row>
    <row r="29" spans="1:13" ht="30" x14ac:dyDescent="0.25">
      <c r="A29" s="788" t="s">
        <v>345</v>
      </c>
      <c r="B29" s="1321">
        <v>110600</v>
      </c>
      <c r="C29" s="187">
        <v>2</v>
      </c>
      <c r="D29" s="952" t="s">
        <v>225</v>
      </c>
      <c r="E29" s="947">
        <v>221200</v>
      </c>
      <c r="F29" s="1195">
        <v>0</v>
      </c>
      <c r="G29" s="1197">
        <v>1</v>
      </c>
      <c r="H29" s="1308" t="s">
        <v>428</v>
      </c>
      <c r="I29" s="858"/>
      <c r="J29" s="858"/>
      <c r="K29" s="859"/>
    </row>
    <row r="30" spans="1:13" ht="30" x14ac:dyDescent="0.25">
      <c r="A30" s="788" t="s">
        <v>429</v>
      </c>
      <c r="B30" s="1321">
        <v>120000</v>
      </c>
      <c r="C30" s="187">
        <v>2</v>
      </c>
      <c r="D30" s="952" t="s">
        <v>430</v>
      </c>
      <c r="E30" s="947">
        <f t="shared" ref="E30:E31" si="4">+B30*C30</f>
        <v>240000</v>
      </c>
      <c r="F30" s="1195">
        <v>0</v>
      </c>
      <c r="G30" s="1202">
        <v>1</v>
      </c>
      <c r="H30" s="1308" t="s">
        <v>622</v>
      </c>
      <c r="I30" s="858"/>
      <c r="K30" s="859"/>
    </row>
    <row r="31" spans="1:13" s="1212" customFormat="1" ht="30" x14ac:dyDescent="0.25">
      <c r="A31" s="1216" t="s">
        <v>593</v>
      </c>
      <c r="B31" s="1217">
        <v>800000</v>
      </c>
      <c r="C31" s="1221">
        <v>2</v>
      </c>
      <c r="D31" s="1264" t="s">
        <v>225</v>
      </c>
      <c r="E31" s="1224">
        <f t="shared" si="4"/>
        <v>1600000</v>
      </c>
      <c r="F31" s="1146">
        <v>0</v>
      </c>
      <c r="G31" s="1375">
        <v>1</v>
      </c>
      <c r="H31" s="1308" t="s">
        <v>426</v>
      </c>
      <c r="I31" s="1225" t="s">
        <v>652</v>
      </c>
    </row>
    <row r="32" spans="1:13" s="1318" customFormat="1" ht="30" x14ac:dyDescent="0.25">
      <c r="A32" s="1215" t="s">
        <v>515</v>
      </c>
      <c r="B32" s="1151">
        <v>1000000</v>
      </c>
      <c r="C32" s="1220">
        <v>1</v>
      </c>
      <c r="D32" s="1213" t="s">
        <v>514</v>
      </c>
      <c r="E32" s="129">
        <f>+B32*C32</f>
        <v>1000000</v>
      </c>
      <c r="F32" s="1070">
        <v>0</v>
      </c>
      <c r="G32" s="1074">
        <v>1</v>
      </c>
      <c r="H32" s="1158" t="s">
        <v>606</v>
      </c>
      <c r="I32" s="1225"/>
    </row>
    <row r="33" spans="1:15" s="84" customFormat="1" ht="45" x14ac:dyDescent="0.25">
      <c r="A33" s="124" t="s">
        <v>334</v>
      </c>
      <c r="B33" s="895">
        <v>30000</v>
      </c>
      <c r="C33" s="187">
        <v>1</v>
      </c>
      <c r="D33" s="952" t="s">
        <v>224</v>
      </c>
      <c r="E33" s="949">
        <f t="shared" ref="E33" si="5">+B33*C33</f>
        <v>30000</v>
      </c>
      <c r="F33" s="1070">
        <v>0</v>
      </c>
      <c r="G33" s="1196">
        <v>1</v>
      </c>
      <c r="H33" s="1308" t="s">
        <v>509</v>
      </c>
      <c r="I33" s="206"/>
    </row>
    <row r="34" spans="1:15" x14ac:dyDescent="0.25">
      <c r="A34" s="121" t="s">
        <v>145</v>
      </c>
      <c r="B34" s="896"/>
      <c r="C34" s="723"/>
      <c r="D34" s="954"/>
      <c r="E34" s="945">
        <f>+E35+E38+E39</f>
        <v>0</v>
      </c>
      <c r="F34" s="1271">
        <f>+F35+F38+F39</f>
        <v>207659602</v>
      </c>
      <c r="G34" s="1186">
        <f t="shared" si="3"/>
        <v>-1</v>
      </c>
      <c r="H34" s="939"/>
      <c r="I34" s="858"/>
      <c r="J34" s="858"/>
      <c r="K34" s="859"/>
    </row>
    <row r="35" spans="1:15" x14ac:dyDescent="0.25">
      <c r="A35" s="870" t="s">
        <v>416</v>
      </c>
      <c r="B35" s="891"/>
      <c r="C35" s="795"/>
      <c r="D35" s="955"/>
      <c r="E35" s="946">
        <f>SUM(E36:E37)</f>
        <v>0</v>
      </c>
      <c r="F35" s="1190">
        <f>SUM(F36:F37)</f>
        <v>27189106</v>
      </c>
      <c r="G35" s="1181">
        <f t="shared" si="3"/>
        <v>-1</v>
      </c>
      <c r="H35" s="940"/>
      <c r="I35" s="858"/>
      <c r="J35" s="858"/>
      <c r="K35" s="859"/>
    </row>
    <row r="36" spans="1:15" ht="15" x14ac:dyDescent="0.25">
      <c r="A36" s="793" t="s">
        <v>171</v>
      </c>
      <c r="B36" s="892">
        <v>0</v>
      </c>
      <c r="C36" s="187">
        <v>15</v>
      </c>
      <c r="D36" s="952" t="s">
        <v>171</v>
      </c>
      <c r="E36" s="947">
        <f>+B36*C36</f>
        <v>0</v>
      </c>
      <c r="F36" s="1195">
        <v>10805539</v>
      </c>
      <c r="G36" s="1196">
        <f t="shared" si="3"/>
        <v>-1</v>
      </c>
      <c r="H36" s="1308" t="s">
        <v>426</v>
      </c>
      <c r="J36" s="858"/>
      <c r="K36" s="859"/>
    </row>
    <row r="37" spans="1:15" x14ac:dyDescent="0.25">
      <c r="A37" s="124" t="s">
        <v>147</v>
      </c>
      <c r="B37" s="892">
        <v>0</v>
      </c>
      <c r="C37" s="187">
        <v>20</v>
      </c>
      <c r="D37" s="952" t="s">
        <v>147</v>
      </c>
      <c r="E37" s="947">
        <f>+B37*C37</f>
        <v>0</v>
      </c>
      <c r="F37" s="1195">
        <v>16383567</v>
      </c>
      <c r="G37" s="1196">
        <f t="shared" si="3"/>
        <v>-1</v>
      </c>
      <c r="H37" s="1308" t="s">
        <v>426</v>
      </c>
      <c r="I37" s="871"/>
      <c r="J37" s="1577"/>
      <c r="K37" s="1577"/>
      <c r="L37" s="876"/>
      <c r="M37" s="1578"/>
      <c r="N37" s="1578"/>
    </row>
    <row r="38" spans="1:15" ht="31.5" x14ac:dyDescent="0.25">
      <c r="A38" s="872" t="s">
        <v>417</v>
      </c>
      <c r="B38" s="897">
        <v>0</v>
      </c>
      <c r="C38" s="795">
        <v>0</v>
      </c>
      <c r="D38" s="957" t="s">
        <v>398</v>
      </c>
      <c r="E38" s="946">
        <v>0</v>
      </c>
      <c r="F38" s="1173">
        <v>16633053</v>
      </c>
      <c r="G38" s="1181">
        <f>(E38-F38)/F38</f>
        <v>-1</v>
      </c>
      <c r="H38" s="1356" t="s">
        <v>426</v>
      </c>
      <c r="I38" s="871"/>
      <c r="J38" s="873"/>
      <c r="K38" s="874"/>
      <c r="L38" s="863"/>
      <c r="M38" s="873"/>
      <c r="N38" s="874"/>
    </row>
    <row r="39" spans="1:15" ht="47.25" x14ac:dyDescent="0.25">
      <c r="A39" s="872" t="s">
        <v>418</v>
      </c>
      <c r="B39" s="897">
        <v>0</v>
      </c>
      <c r="C39" s="795">
        <v>200</v>
      </c>
      <c r="D39" s="957" t="s">
        <v>458</v>
      </c>
      <c r="E39" s="946">
        <f>+B39*C39</f>
        <v>0</v>
      </c>
      <c r="F39" s="1173">
        <v>163837443</v>
      </c>
      <c r="G39" s="1181">
        <f t="shared" si="3"/>
        <v>-1</v>
      </c>
      <c r="H39" s="1309" t="s">
        <v>426</v>
      </c>
      <c r="I39" s="871"/>
      <c r="J39" s="873"/>
      <c r="K39" s="874"/>
      <c r="L39" s="863"/>
      <c r="M39" s="873"/>
      <c r="N39" s="874"/>
    </row>
    <row r="40" spans="1:15" ht="30.6" customHeight="1" x14ac:dyDescent="0.25">
      <c r="A40" s="121" t="s">
        <v>144</v>
      </c>
      <c r="B40" s="896">
        <v>220000</v>
      </c>
      <c r="C40" s="723">
        <v>12</v>
      </c>
      <c r="D40" s="954" t="s">
        <v>189</v>
      </c>
      <c r="E40" s="1199">
        <f>+B40*C40</f>
        <v>2640000</v>
      </c>
      <c r="F40" s="1199">
        <v>2642917</v>
      </c>
      <c r="G40" s="1186">
        <f t="shared" si="3"/>
        <v>-1.1037047323090357E-3</v>
      </c>
      <c r="H40" s="1310" t="s">
        <v>623</v>
      </c>
      <c r="I40" s="871"/>
      <c r="J40" s="871"/>
      <c r="K40" s="875"/>
      <c r="L40" s="863"/>
      <c r="M40" s="876"/>
      <c r="N40" s="863"/>
    </row>
    <row r="41" spans="1:15" x14ac:dyDescent="0.25">
      <c r="A41" s="121" t="s">
        <v>137</v>
      </c>
      <c r="B41" s="890"/>
      <c r="C41" s="723"/>
      <c r="D41" s="954"/>
      <c r="E41" s="1271">
        <f>SUM(E42:E43)</f>
        <v>3000000</v>
      </c>
      <c r="F41" s="1271">
        <f>SUM(F42:F43)</f>
        <v>6599350</v>
      </c>
      <c r="G41" s="1186">
        <f t="shared" si="3"/>
        <v>-0.54540977520513378</v>
      </c>
      <c r="H41" s="939"/>
      <c r="I41" s="871"/>
      <c r="J41" s="877"/>
      <c r="K41" s="875"/>
      <c r="L41" s="863"/>
      <c r="M41" s="863"/>
      <c r="N41" s="863"/>
    </row>
    <row r="42" spans="1:15" ht="29.45" customHeight="1" x14ac:dyDescent="0.25">
      <c r="A42" s="110" t="s">
        <v>419</v>
      </c>
      <c r="B42" s="892">
        <v>0</v>
      </c>
      <c r="C42" s="187">
        <v>400</v>
      </c>
      <c r="D42" s="952" t="s">
        <v>419</v>
      </c>
      <c r="E42" s="1262">
        <f>+B42*C42</f>
        <v>0</v>
      </c>
      <c r="F42" s="1195">
        <v>3189200</v>
      </c>
      <c r="G42" s="1196">
        <f t="shared" si="3"/>
        <v>-1</v>
      </c>
      <c r="H42" s="1308" t="s">
        <v>426</v>
      </c>
      <c r="I42" s="871"/>
      <c r="J42" s="871"/>
      <c r="K42" s="858"/>
      <c r="L42" s="863"/>
      <c r="M42" s="863"/>
      <c r="N42" s="863"/>
    </row>
    <row r="43" spans="1:15" ht="60" x14ac:dyDescent="0.25">
      <c r="A43" s="796" t="s">
        <v>138</v>
      </c>
      <c r="B43" s="892">
        <v>250000</v>
      </c>
      <c r="C43" s="187">
        <v>12</v>
      </c>
      <c r="D43" s="952" t="s">
        <v>189</v>
      </c>
      <c r="E43" s="947">
        <f>+B43*C43</f>
        <v>3000000</v>
      </c>
      <c r="F43" s="1195">
        <v>3410150</v>
      </c>
      <c r="G43" s="1196">
        <f t="shared" si="3"/>
        <v>-0.1202733017609196</v>
      </c>
      <c r="H43" s="937" t="s">
        <v>624</v>
      </c>
      <c r="I43" s="871"/>
      <c r="J43" s="871"/>
      <c r="K43" s="875"/>
      <c r="L43" s="863"/>
      <c r="M43" s="863"/>
      <c r="N43" s="863"/>
    </row>
    <row r="44" spans="1:15" x14ac:dyDescent="0.25">
      <c r="A44" s="121" t="s">
        <v>350</v>
      </c>
      <c r="B44" s="890"/>
      <c r="C44" s="723"/>
      <c r="D44" s="954"/>
      <c r="E44" s="945">
        <f>+E45</f>
        <v>0</v>
      </c>
      <c r="F44" s="1271">
        <f>+F45</f>
        <v>30000000</v>
      </c>
      <c r="G44" s="1186">
        <v>1</v>
      </c>
      <c r="H44" s="939"/>
      <c r="I44" s="871"/>
      <c r="J44" s="871"/>
      <c r="K44" s="875"/>
      <c r="L44" s="863"/>
      <c r="M44" s="863"/>
      <c r="N44" s="863"/>
    </row>
    <row r="45" spans="1:15" ht="15" x14ac:dyDescent="0.25">
      <c r="A45" s="726" t="s">
        <v>420</v>
      </c>
      <c r="B45" s="892">
        <v>5000</v>
      </c>
      <c r="C45" s="187">
        <v>4000</v>
      </c>
      <c r="D45" s="952" t="s">
        <v>421</v>
      </c>
      <c r="E45" s="947">
        <v>0</v>
      </c>
      <c r="F45" s="1195">
        <v>30000000</v>
      </c>
      <c r="G45" s="1196">
        <f>+(E45-F45)/F45</f>
        <v>-1</v>
      </c>
      <c r="H45" s="937" t="s">
        <v>317</v>
      </c>
      <c r="I45" s="871"/>
      <c r="J45" s="871"/>
      <c r="K45" s="875"/>
      <c r="L45" s="863"/>
      <c r="M45" s="863"/>
      <c r="N45" s="863"/>
    </row>
    <row r="46" spans="1:15" s="84" customFormat="1" ht="31.15" customHeight="1" x14ac:dyDescent="0.25">
      <c r="A46" s="121" t="s">
        <v>152</v>
      </c>
      <c r="B46" s="894">
        <v>36000</v>
      </c>
      <c r="C46" s="723">
        <v>12</v>
      </c>
      <c r="D46" s="954" t="s">
        <v>404</v>
      </c>
      <c r="E46" s="945">
        <f>+B46*C46</f>
        <v>432000</v>
      </c>
      <c r="F46" s="1199">
        <v>413568</v>
      </c>
      <c r="G46" s="1186">
        <f t="shared" si="3"/>
        <v>4.456824512534819E-2</v>
      </c>
      <c r="H46" s="1311" t="s">
        <v>625</v>
      </c>
      <c r="I46" s="858"/>
      <c r="J46" s="858"/>
      <c r="K46" s="859"/>
      <c r="L46" s="765"/>
      <c r="M46" s="765"/>
      <c r="N46" s="765"/>
      <c r="O46" s="765"/>
    </row>
    <row r="47" spans="1:15" x14ac:dyDescent="0.25">
      <c r="A47" s="778" t="s">
        <v>86</v>
      </c>
      <c r="B47" s="889"/>
      <c r="C47" s="780"/>
      <c r="D47" s="953"/>
      <c r="E47" s="944">
        <f>+E48</f>
        <v>0</v>
      </c>
      <c r="F47" s="1268">
        <f>+F48</f>
        <v>90149500</v>
      </c>
      <c r="G47" s="1175">
        <f t="shared" si="3"/>
        <v>-1</v>
      </c>
      <c r="H47" s="938"/>
      <c r="I47" s="858"/>
      <c r="J47" s="858"/>
      <c r="K47" s="859"/>
    </row>
    <row r="48" spans="1:15" x14ac:dyDescent="0.25">
      <c r="A48" s="121" t="s">
        <v>626</v>
      </c>
      <c r="B48" s="890"/>
      <c r="C48" s="723"/>
      <c r="D48" s="954"/>
      <c r="E48" s="945">
        <f>SUM(E49:E51)</f>
        <v>0</v>
      </c>
      <c r="F48" s="1271">
        <f>SUM(F49:F51)</f>
        <v>90149500</v>
      </c>
      <c r="G48" s="1186">
        <f>(E48-F48)/F48</f>
        <v>-1</v>
      </c>
      <c r="H48" s="939"/>
      <c r="I48" s="858"/>
      <c r="J48" s="858"/>
      <c r="K48" s="859"/>
    </row>
    <row r="49" spans="1:15" ht="30" x14ac:dyDescent="0.25">
      <c r="A49" s="789" t="s">
        <v>422</v>
      </c>
      <c r="B49" s="888">
        <v>0</v>
      </c>
      <c r="C49" s="790">
        <v>1000</v>
      </c>
      <c r="D49" s="959" t="s">
        <v>423</v>
      </c>
      <c r="E49" s="950">
        <f>B49*C49</f>
        <v>0</v>
      </c>
      <c r="F49" s="1174">
        <v>80344000</v>
      </c>
      <c r="G49" s="1188">
        <f>(E49-F49)/F49</f>
        <v>-1</v>
      </c>
      <c r="H49" s="1308" t="s">
        <v>317</v>
      </c>
      <c r="I49" s="858"/>
      <c r="J49" s="858"/>
      <c r="K49" s="859"/>
    </row>
    <row r="50" spans="1:15" ht="30" x14ac:dyDescent="0.25">
      <c r="A50" s="789" t="s">
        <v>627</v>
      </c>
      <c r="B50" s="888">
        <v>0</v>
      </c>
      <c r="C50" s="790">
        <v>85</v>
      </c>
      <c r="D50" s="959" t="s">
        <v>424</v>
      </c>
      <c r="E50" s="1263">
        <f>B50*C50</f>
        <v>0</v>
      </c>
      <c r="F50" s="1174">
        <v>3600000</v>
      </c>
      <c r="G50" s="1188">
        <f t="shared" ref="G50:G51" si="6">(E50-F50)/F50</f>
        <v>-1</v>
      </c>
      <c r="H50" s="1308" t="s">
        <v>317</v>
      </c>
      <c r="I50" s="858"/>
      <c r="K50" s="859"/>
    </row>
    <row r="51" spans="1:15" thickBot="1" x14ac:dyDescent="0.3">
      <c r="A51" s="1087" t="s">
        <v>425</v>
      </c>
      <c r="B51" s="1088">
        <v>0</v>
      </c>
      <c r="C51" s="1089">
        <v>1585</v>
      </c>
      <c r="D51" s="1090" t="s">
        <v>424</v>
      </c>
      <c r="E51" s="1263">
        <f>B51*C51</f>
        <v>0</v>
      </c>
      <c r="F51" s="1180">
        <v>6205500</v>
      </c>
      <c r="G51" s="1176">
        <f t="shared" si="6"/>
        <v>-1</v>
      </c>
      <c r="H51" s="1308" t="s">
        <v>317</v>
      </c>
      <c r="I51" s="858"/>
      <c r="J51" s="858"/>
      <c r="K51" s="859"/>
    </row>
    <row r="52" spans="1:15" ht="16.5" thickBot="1" x14ac:dyDescent="0.3">
      <c r="A52" s="878" t="s">
        <v>90</v>
      </c>
      <c r="B52" s="898"/>
      <c r="C52" s="879"/>
      <c r="D52" s="1091"/>
      <c r="E52" s="1092" t="e">
        <f>+E5+E15+E47</f>
        <v>#REF!</v>
      </c>
      <c r="F52" s="1191" t="e">
        <f>+F5+F15+F47</f>
        <v>#REF!</v>
      </c>
      <c r="G52" s="1210" t="e">
        <f t="shared" si="3"/>
        <v>#REF!</v>
      </c>
      <c r="H52" s="1093"/>
      <c r="I52" s="858"/>
      <c r="J52" s="858"/>
      <c r="K52" s="859"/>
    </row>
    <row r="53" spans="1:15" x14ac:dyDescent="0.25">
      <c r="A53" s="809"/>
      <c r="B53" s="899"/>
      <c r="C53" s="811"/>
      <c r="D53" s="812"/>
      <c r="E53" s="880"/>
      <c r="H53" s="882"/>
      <c r="I53" s="858"/>
    </row>
    <row r="54" spans="1:15" x14ac:dyDescent="0.25">
      <c r="A54" s="809"/>
      <c r="B54" s="899"/>
      <c r="C54" s="811"/>
      <c r="D54" s="812"/>
      <c r="E54" s="880"/>
      <c r="F54" s="837"/>
      <c r="H54" s="882"/>
    </row>
    <row r="55" spans="1:15" x14ac:dyDescent="0.25">
      <c r="E55" s="1178"/>
      <c r="F55" s="883"/>
    </row>
    <row r="57" spans="1:15" x14ac:dyDescent="0.25">
      <c r="E57" s="851"/>
      <c r="F57" s="772"/>
    </row>
    <row r="58" spans="1:15" x14ac:dyDescent="0.25">
      <c r="E58" s="851"/>
      <c r="F58" s="772"/>
    </row>
    <row r="59" spans="1:15" x14ac:dyDescent="0.25">
      <c r="E59" s="851"/>
      <c r="F59" s="772"/>
    </row>
    <row r="60" spans="1:15" x14ac:dyDescent="0.25">
      <c r="E60" s="885"/>
      <c r="F60" s="772"/>
    </row>
    <row r="61" spans="1:15" x14ac:dyDescent="0.25">
      <c r="E61" s="851"/>
      <c r="F61" s="772"/>
    </row>
    <row r="62" spans="1:15" x14ac:dyDescent="0.25">
      <c r="E62" s="851"/>
      <c r="F62" s="772"/>
      <c r="G62" s="1034"/>
    </row>
    <row r="63" spans="1:15" s="881" customFormat="1" x14ac:dyDescent="0.25">
      <c r="A63" s="84"/>
      <c r="B63" s="900"/>
      <c r="C63" s="837"/>
      <c r="D63" s="481"/>
      <c r="E63" s="851"/>
      <c r="F63" s="772"/>
      <c r="G63" s="1033"/>
      <c r="H63" s="884"/>
      <c r="I63" s="765"/>
      <c r="J63" s="765"/>
      <c r="K63" s="765"/>
      <c r="L63" s="765"/>
      <c r="M63" s="765"/>
      <c r="N63" s="765"/>
      <c r="O63" s="765"/>
    </row>
  </sheetData>
  <mergeCells count="4">
    <mergeCell ref="A1:H1"/>
    <mergeCell ref="A2:H2"/>
    <mergeCell ref="J37:K37"/>
    <mergeCell ref="M37:N37"/>
  </mergeCells>
  <printOptions horizontalCentered="1"/>
  <pageMargins left="0.19685039370078741" right="0.19685039370078741" top="0.39370078740157483" bottom="0.19685039370078741" header="0.31496062992125984" footer="0.31496062992125984"/>
  <pageSetup scale="55" orientation="landscape"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1"/>
  <sheetViews>
    <sheetView zoomScale="70" zoomScaleNormal="70" workbookViewId="0">
      <selection activeCell="F13" sqref="F13:H15"/>
    </sheetView>
  </sheetViews>
  <sheetFormatPr baseColWidth="10" defaultRowHeight="15" x14ac:dyDescent="0.25"/>
  <cols>
    <col min="1" max="1" width="32.7109375" customWidth="1"/>
    <col min="2" max="2" width="24.28515625" customWidth="1"/>
    <col min="3" max="3" width="12.28515625" bestFit="1" customWidth="1"/>
    <col min="4" max="4" width="15.28515625" bestFit="1" customWidth="1"/>
    <col min="5" max="6" width="21.28515625" customWidth="1"/>
    <col min="7" max="7" width="13.140625" bestFit="1" customWidth="1"/>
    <col min="8" max="8" width="80" customWidth="1"/>
  </cols>
  <sheetData>
    <row r="1" spans="1:13" s="1317" customFormat="1" x14ac:dyDescent="0.25"/>
    <row r="2" spans="1:13" ht="20.25" x14ac:dyDescent="0.25">
      <c r="A2" s="1579" t="s">
        <v>55</v>
      </c>
      <c r="B2" s="1579"/>
      <c r="C2" s="1579"/>
      <c r="D2" s="1579"/>
      <c r="E2" s="1579"/>
      <c r="F2" s="1579"/>
      <c r="G2" s="1579"/>
      <c r="H2" s="1579"/>
      <c r="I2" s="1317"/>
      <c r="J2" s="1317"/>
      <c r="K2" s="1317"/>
      <c r="L2" s="1317"/>
      <c r="M2" s="1317"/>
    </row>
    <row r="3" spans="1:13" x14ac:dyDescent="0.25">
      <c r="A3" s="1580" t="s">
        <v>628</v>
      </c>
      <c r="B3" s="1580"/>
      <c r="C3" s="1580"/>
      <c r="D3" s="1580"/>
      <c r="E3" s="1580"/>
      <c r="F3" s="1580"/>
      <c r="G3" s="1580"/>
      <c r="H3" s="1580"/>
      <c r="I3" s="1317"/>
      <c r="J3" s="1317"/>
      <c r="K3" s="1317"/>
      <c r="L3" s="1317"/>
      <c r="M3" s="1317"/>
    </row>
    <row r="4" spans="1:13" x14ac:dyDescent="0.25">
      <c r="A4" s="1580"/>
      <c r="B4" s="1580"/>
      <c r="C4" s="1580"/>
      <c r="D4" s="1580"/>
      <c r="E4" s="1580"/>
      <c r="F4" s="1580"/>
      <c r="G4" s="1580"/>
      <c r="H4" s="1580"/>
      <c r="I4" s="1317"/>
      <c r="J4" s="1317"/>
      <c r="K4" s="1317"/>
      <c r="L4" s="1317"/>
      <c r="M4" s="1317"/>
    </row>
    <row r="5" spans="1:13" s="1317" customFormat="1" ht="21" thickBot="1" x14ac:dyDescent="0.3">
      <c r="A5" s="1314"/>
      <c r="B5" s="1314"/>
      <c r="C5" s="1314"/>
      <c r="D5" s="1314"/>
      <c r="E5" s="1314"/>
      <c r="F5" s="1314"/>
      <c r="G5" s="1314"/>
      <c r="H5" s="1314"/>
    </row>
    <row r="6" spans="1:13" s="1312" customFormat="1" ht="32.25" thickBot="1" x14ac:dyDescent="0.3">
      <c r="A6" s="1343" t="s">
        <v>212</v>
      </c>
      <c r="B6" s="1315" t="s">
        <v>395</v>
      </c>
      <c r="C6" s="1344" t="s">
        <v>133</v>
      </c>
      <c r="D6" s="1360" t="s">
        <v>188</v>
      </c>
      <c r="E6" s="1361" t="s">
        <v>396</v>
      </c>
      <c r="F6" s="1370" t="s">
        <v>374</v>
      </c>
      <c r="G6" s="1379" t="s">
        <v>180</v>
      </c>
      <c r="H6" s="1362" t="s">
        <v>182</v>
      </c>
      <c r="I6" s="1335"/>
      <c r="J6" s="1335"/>
      <c r="K6" s="1335"/>
      <c r="L6" s="1335"/>
      <c r="M6" s="1335"/>
    </row>
    <row r="7" spans="1:13" ht="15.75" x14ac:dyDescent="0.25">
      <c r="A7" s="1345" t="s">
        <v>49</v>
      </c>
      <c r="B7" s="1398"/>
      <c r="C7" s="1346"/>
      <c r="D7" s="1357"/>
      <c r="E7" s="1358">
        <v>30000000</v>
      </c>
      <c r="F7" s="1369">
        <v>0</v>
      </c>
      <c r="G7" s="1371">
        <v>1</v>
      </c>
      <c r="H7" s="1359"/>
      <c r="I7" s="1347"/>
      <c r="J7" s="1347"/>
      <c r="K7" s="1348"/>
      <c r="L7" s="1317"/>
      <c r="M7" s="1317"/>
    </row>
    <row r="8" spans="1:13" ht="63" customHeight="1" thickBot="1" x14ac:dyDescent="0.3">
      <c r="A8" s="1336" t="s">
        <v>493</v>
      </c>
      <c r="B8" s="1402">
        <v>30000000</v>
      </c>
      <c r="C8" s="1337">
        <v>1</v>
      </c>
      <c r="D8" s="1377" t="s">
        <v>494</v>
      </c>
      <c r="E8" s="1376">
        <v>30000000</v>
      </c>
      <c r="F8" s="1372">
        <v>0</v>
      </c>
      <c r="G8" s="1373">
        <v>1</v>
      </c>
      <c r="H8" s="1313" t="s">
        <v>495</v>
      </c>
      <c r="I8" s="1347"/>
      <c r="J8" s="1347"/>
      <c r="K8" s="1348"/>
      <c r="L8" s="1317"/>
      <c r="M8" s="1317"/>
    </row>
    <row r="9" spans="1:13" ht="16.5" thickBot="1" x14ac:dyDescent="0.3">
      <c r="A9" s="1349" t="s">
        <v>90</v>
      </c>
      <c r="B9" s="1399"/>
      <c r="C9" s="1350"/>
      <c r="D9" s="1365"/>
      <c r="E9" s="1366">
        <v>30000000</v>
      </c>
      <c r="F9" s="1374">
        <v>0</v>
      </c>
      <c r="G9" s="1378">
        <v>1</v>
      </c>
      <c r="H9" s="1367"/>
      <c r="I9" s="1347"/>
      <c r="J9" s="1347"/>
      <c r="K9" s="1348"/>
      <c r="L9" s="1317"/>
      <c r="M9" s="1317"/>
    </row>
    <row r="10" spans="1:13" ht="15.75" x14ac:dyDescent="0.25">
      <c r="A10" s="1338"/>
      <c r="B10" s="1400"/>
      <c r="C10" s="1339"/>
      <c r="D10" s="1340"/>
      <c r="E10" s="1351"/>
      <c r="F10" s="1317"/>
      <c r="G10" s="1317"/>
      <c r="H10" s="1352"/>
      <c r="I10" s="1347"/>
      <c r="J10" s="1347"/>
      <c r="K10" s="1348"/>
      <c r="L10" s="1317"/>
      <c r="M10" s="1317"/>
    </row>
    <row r="11" spans="1:13" ht="15.75" x14ac:dyDescent="0.25">
      <c r="A11" s="1338"/>
      <c r="B11" s="1400"/>
      <c r="C11" s="1339"/>
      <c r="D11" s="1340"/>
      <c r="E11" s="1351"/>
      <c r="F11" s="1341"/>
      <c r="G11" s="1317"/>
      <c r="H11" s="1352"/>
      <c r="I11" s="1347"/>
      <c r="J11" s="1317"/>
      <c r="K11" s="1317"/>
      <c r="L11" s="1317"/>
      <c r="M11" s="1317"/>
    </row>
    <row r="12" spans="1:13" x14ac:dyDescent="0.25">
      <c r="A12" s="1317"/>
      <c r="B12" s="1317"/>
      <c r="C12" s="1317"/>
      <c r="D12" s="1317"/>
      <c r="E12" s="1368"/>
      <c r="F12" s="1353"/>
      <c r="G12" s="1317"/>
      <c r="H12" s="1317"/>
      <c r="I12" s="1317"/>
      <c r="J12" s="1317"/>
      <c r="K12" s="1317"/>
      <c r="L12" s="1317"/>
      <c r="M12" s="1317"/>
    </row>
    <row r="14" spans="1:13" x14ac:dyDescent="0.25">
      <c r="A14" s="1317"/>
      <c r="B14" s="1317"/>
      <c r="C14" s="1317"/>
      <c r="D14" s="1317"/>
      <c r="E14" s="1342"/>
      <c r="F14" s="1335"/>
      <c r="G14" s="1317"/>
      <c r="H14" s="1317"/>
      <c r="I14" s="1317"/>
      <c r="J14" s="1317"/>
      <c r="K14" s="1317"/>
      <c r="L14" s="1317"/>
      <c r="M14" s="1317"/>
    </row>
    <row r="15" spans="1:13" x14ac:dyDescent="0.25">
      <c r="A15" s="1317"/>
      <c r="B15" s="1317"/>
      <c r="C15" s="1317"/>
      <c r="D15" s="1317"/>
      <c r="E15" s="1342"/>
      <c r="F15" s="1335"/>
      <c r="G15" s="1317"/>
      <c r="H15" s="1317"/>
      <c r="I15" s="1317"/>
      <c r="J15" s="1317"/>
      <c r="K15" s="1317"/>
      <c r="L15" s="1317"/>
      <c r="M15" s="1317"/>
    </row>
    <row r="16" spans="1:13" x14ac:dyDescent="0.25">
      <c r="A16" s="1317"/>
      <c r="B16" s="1317"/>
      <c r="C16" s="1317"/>
      <c r="D16" s="1317"/>
      <c r="E16" s="1342"/>
      <c r="F16" s="1335"/>
      <c r="G16" s="1317"/>
      <c r="H16" s="1317"/>
      <c r="I16" s="1317"/>
      <c r="J16" s="1317"/>
      <c r="K16" s="1317"/>
      <c r="L16" s="1317"/>
      <c r="M16" s="1317"/>
    </row>
    <row r="17" spans="1:15" x14ac:dyDescent="0.25">
      <c r="A17" s="1317"/>
      <c r="B17" s="1317"/>
      <c r="C17" s="1317"/>
      <c r="D17" s="1317"/>
      <c r="E17" s="1355"/>
      <c r="F17" s="1335"/>
      <c r="G17" s="1317"/>
      <c r="H17" s="1317"/>
      <c r="I17" s="1317"/>
      <c r="J17" s="1317"/>
      <c r="K17" s="1317"/>
      <c r="L17" s="1317"/>
      <c r="M17" s="1317"/>
    </row>
    <row r="18" spans="1:15" x14ac:dyDescent="0.25">
      <c r="A18" s="1317"/>
      <c r="B18" s="1317"/>
      <c r="C18" s="1317"/>
      <c r="D18" s="1317"/>
      <c r="E18" s="1342"/>
      <c r="F18" s="1335"/>
      <c r="G18" s="1317"/>
      <c r="H18" s="1317"/>
      <c r="I18" s="1317"/>
      <c r="J18" s="1317"/>
      <c r="K18" s="1317"/>
      <c r="L18" s="1317"/>
      <c r="M18" s="1317"/>
    </row>
    <row r="19" spans="1:15" ht="15.75" x14ac:dyDescent="0.25">
      <c r="A19" s="1317"/>
      <c r="B19" s="1317"/>
      <c r="C19" s="1317"/>
      <c r="D19" s="1317"/>
      <c r="E19" s="1342"/>
      <c r="F19" s="1335"/>
      <c r="G19" s="1364"/>
      <c r="H19" s="1317"/>
      <c r="I19" s="1317"/>
      <c r="J19" s="1317"/>
      <c r="K19" s="1317"/>
      <c r="L19" s="1317"/>
      <c r="M19" s="1317"/>
      <c r="N19" s="1317"/>
      <c r="O19" s="1317"/>
    </row>
    <row r="20" spans="1:15" x14ac:dyDescent="0.25">
      <c r="A20" s="1317"/>
      <c r="B20" s="1317"/>
      <c r="C20" s="1317"/>
      <c r="D20" s="1317"/>
      <c r="E20" s="1342"/>
      <c r="F20" s="1335"/>
      <c r="G20" s="1317"/>
      <c r="H20" s="1317"/>
      <c r="I20" s="1317"/>
      <c r="J20" s="1317"/>
      <c r="K20" s="1317"/>
      <c r="L20" s="1317"/>
      <c r="M20" s="1317"/>
      <c r="N20" s="1317"/>
      <c r="O20" s="1317"/>
    </row>
    <row r="21" spans="1:15" ht="15.75" x14ac:dyDescent="0.25">
      <c r="A21" s="1318"/>
      <c r="B21" s="1401"/>
      <c r="C21" s="1341"/>
      <c r="D21" s="1329"/>
      <c r="E21" s="1330"/>
      <c r="F21" s="1329"/>
      <c r="G21" s="1363"/>
      <c r="H21" s="1354"/>
      <c r="I21" s="1334"/>
      <c r="J21" s="1334"/>
      <c r="K21" s="1334"/>
      <c r="L21" s="1334"/>
      <c r="M21" s="1334"/>
      <c r="N21" s="1334"/>
      <c r="O21" s="1334"/>
    </row>
  </sheetData>
  <mergeCells count="2">
    <mergeCell ref="A2:H2"/>
    <mergeCell ref="A3:H4"/>
  </mergeCells>
  <printOptions horizontalCentered="1"/>
  <pageMargins left="0.19685039370078741" right="0.19685039370078741" top="0.94488188976377963" bottom="0.74803149606299213" header="0.31496062992125984" footer="0.31496062992125984"/>
  <pageSetup scale="60" orientation="landscape"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44"/>
  <sheetViews>
    <sheetView zoomScale="70" zoomScaleNormal="70" workbookViewId="0">
      <selection activeCell="F13" sqref="F13:H15"/>
    </sheetView>
  </sheetViews>
  <sheetFormatPr baseColWidth="10" defaultColWidth="20.28515625" defaultRowHeight="15" x14ac:dyDescent="0.25"/>
  <cols>
    <col min="1" max="1" width="32" style="84" customWidth="1"/>
    <col min="2" max="2" width="21.42578125" style="836" bestFit="1" customWidth="1"/>
    <col min="3" max="3" width="15" style="837" customWidth="1"/>
    <col min="4" max="4" width="17.7109375" style="481" customWidth="1"/>
    <col min="5" max="5" width="21.42578125" style="838" bestFit="1" customWidth="1"/>
    <col min="6" max="6" width="21.42578125" style="838" customWidth="1"/>
    <col min="7" max="7" width="14.28515625" style="839" customWidth="1"/>
    <col min="8" max="8" width="92.42578125" style="830" customWidth="1"/>
    <col min="9" max="256" width="20.28515625" style="765"/>
    <col min="257" max="257" width="32" style="765" customWidth="1"/>
    <col min="258" max="258" width="21.42578125" style="765" bestFit="1" customWidth="1"/>
    <col min="259" max="259" width="15" style="765" customWidth="1"/>
    <col min="260" max="260" width="17.7109375" style="765" customWidth="1"/>
    <col min="261" max="261" width="21.42578125" style="765" bestFit="1" customWidth="1"/>
    <col min="262" max="262" width="21.42578125" style="765" customWidth="1"/>
    <col min="263" max="263" width="22.140625" style="765" customWidth="1"/>
    <col min="264" max="264" width="92.42578125" style="765" customWidth="1"/>
    <col min="265" max="512" width="20.28515625" style="765"/>
    <col min="513" max="513" width="32" style="765" customWidth="1"/>
    <col min="514" max="514" width="21.42578125" style="765" bestFit="1" customWidth="1"/>
    <col min="515" max="515" width="15" style="765" customWidth="1"/>
    <col min="516" max="516" width="17.7109375" style="765" customWidth="1"/>
    <col min="517" max="517" width="21.42578125" style="765" bestFit="1" customWidth="1"/>
    <col min="518" max="518" width="21.42578125" style="765" customWidth="1"/>
    <col min="519" max="519" width="22.140625" style="765" customWidth="1"/>
    <col min="520" max="520" width="92.42578125" style="765" customWidth="1"/>
    <col min="521" max="768" width="20.28515625" style="765"/>
    <col min="769" max="769" width="32" style="765" customWidth="1"/>
    <col min="770" max="770" width="21.42578125" style="765" bestFit="1" customWidth="1"/>
    <col min="771" max="771" width="15" style="765" customWidth="1"/>
    <col min="772" max="772" width="17.7109375" style="765" customWidth="1"/>
    <col min="773" max="773" width="21.42578125" style="765" bestFit="1" customWidth="1"/>
    <col min="774" max="774" width="21.42578125" style="765" customWidth="1"/>
    <col min="775" max="775" width="22.140625" style="765" customWidth="1"/>
    <col min="776" max="776" width="92.42578125" style="765" customWidth="1"/>
    <col min="777" max="1024" width="20.28515625" style="765"/>
    <col min="1025" max="1025" width="32" style="765" customWidth="1"/>
    <col min="1026" max="1026" width="21.42578125" style="765" bestFit="1" customWidth="1"/>
    <col min="1027" max="1027" width="15" style="765" customWidth="1"/>
    <col min="1028" max="1028" width="17.7109375" style="765" customWidth="1"/>
    <col min="1029" max="1029" width="21.42578125" style="765" bestFit="1" customWidth="1"/>
    <col min="1030" max="1030" width="21.42578125" style="765" customWidth="1"/>
    <col min="1031" max="1031" width="22.140625" style="765" customWidth="1"/>
    <col min="1032" max="1032" width="92.42578125" style="765" customWidth="1"/>
    <col min="1033" max="1280" width="20.28515625" style="765"/>
    <col min="1281" max="1281" width="32" style="765" customWidth="1"/>
    <col min="1282" max="1282" width="21.42578125" style="765" bestFit="1" customWidth="1"/>
    <col min="1283" max="1283" width="15" style="765" customWidth="1"/>
    <col min="1284" max="1284" width="17.7109375" style="765" customWidth="1"/>
    <col min="1285" max="1285" width="21.42578125" style="765" bestFit="1" customWidth="1"/>
    <col min="1286" max="1286" width="21.42578125" style="765" customWidth="1"/>
    <col min="1287" max="1287" width="22.140625" style="765" customWidth="1"/>
    <col min="1288" max="1288" width="92.42578125" style="765" customWidth="1"/>
    <col min="1289" max="1536" width="20.28515625" style="765"/>
    <col min="1537" max="1537" width="32" style="765" customWidth="1"/>
    <col min="1538" max="1538" width="21.42578125" style="765" bestFit="1" customWidth="1"/>
    <col min="1539" max="1539" width="15" style="765" customWidth="1"/>
    <col min="1540" max="1540" width="17.7109375" style="765" customWidth="1"/>
    <col min="1541" max="1541" width="21.42578125" style="765" bestFit="1" customWidth="1"/>
    <col min="1542" max="1542" width="21.42578125" style="765" customWidth="1"/>
    <col min="1543" max="1543" width="22.140625" style="765" customWidth="1"/>
    <col min="1544" max="1544" width="92.42578125" style="765" customWidth="1"/>
    <col min="1545" max="1792" width="20.28515625" style="765"/>
    <col min="1793" max="1793" width="32" style="765" customWidth="1"/>
    <col min="1794" max="1794" width="21.42578125" style="765" bestFit="1" customWidth="1"/>
    <col min="1795" max="1795" width="15" style="765" customWidth="1"/>
    <col min="1796" max="1796" width="17.7109375" style="765" customWidth="1"/>
    <col min="1797" max="1797" width="21.42578125" style="765" bestFit="1" customWidth="1"/>
    <col min="1798" max="1798" width="21.42578125" style="765" customWidth="1"/>
    <col min="1799" max="1799" width="22.140625" style="765" customWidth="1"/>
    <col min="1800" max="1800" width="92.42578125" style="765" customWidth="1"/>
    <col min="1801" max="2048" width="20.28515625" style="765"/>
    <col min="2049" max="2049" width="32" style="765" customWidth="1"/>
    <col min="2050" max="2050" width="21.42578125" style="765" bestFit="1" customWidth="1"/>
    <col min="2051" max="2051" width="15" style="765" customWidth="1"/>
    <col min="2052" max="2052" width="17.7109375" style="765" customWidth="1"/>
    <col min="2053" max="2053" width="21.42578125" style="765" bestFit="1" customWidth="1"/>
    <col min="2054" max="2054" width="21.42578125" style="765" customWidth="1"/>
    <col min="2055" max="2055" width="22.140625" style="765" customWidth="1"/>
    <col min="2056" max="2056" width="92.42578125" style="765" customWidth="1"/>
    <col min="2057" max="2304" width="20.28515625" style="765"/>
    <col min="2305" max="2305" width="32" style="765" customWidth="1"/>
    <col min="2306" max="2306" width="21.42578125" style="765" bestFit="1" customWidth="1"/>
    <col min="2307" max="2307" width="15" style="765" customWidth="1"/>
    <col min="2308" max="2308" width="17.7109375" style="765" customWidth="1"/>
    <col min="2309" max="2309" width="21.42578125" style="765" bestFit="1" customWidth="1"/>
    <col min="2310" max="2310" width="21.42578125" style="765" customWidth="1"/>
    <col min="2311" max="2311" width="22.140625" style="765" customWidth="1"/>
    <col min="2312" max="2312" width="92.42578125" style="765" customWidth="1"/>
    <col min="2313" max="2560" width="20.28515625" style="765"/>
    <col min="2561" max="2561" width="32" style="765" customWidth="1"/>
    <col min="2562" max="2562" width="21.42578125" style="765" bestFit="1" customWidth="1"/>
    <col min="2563" max="2563" width="15" style="765" customWidth="1"/>
    <col min="2564" max="2564" width="17.7109375" style="765" customWidth="1"/>
    <col min="2565" max="2565" width="21.42578125" style="765" bestFit="1" customWidth="1"/>
    <col min="2566" max="2566" width="21.42578125" style="765" customWidth="1"/>
    <col min="2567" max="2567" width="22.140625" style="765" customWidth="1"/>
    <col min="2568" max="2568" width="92.42578125" style="765" customWidth="1"/>
    <col min="2569" max="2816" width="20.28515625" style="765"/>
    <col min="2817" max="2817" width="32" style="765" customWidth="1"/>
    <col min="2818" max="2818" width="21.42578125" style="765" bestFit="1" customWidth="1"/>
    <col min="2819" max="2819" width="15" style="765" customWidth="1"/>
    <col min="2820" max="2820" width="17.7109375" style="765" customWidth="1"/>
    <col min="2821" max="2821" width="21.42578125" style="765" bestFit="1" customWidth="1"/>
    <col min="2822" max="2822" width="21.42578125" style="765" customWidth="1"/>
    <col min="2823" max="2823" width="22.140625" style="765" customWidth="1"/>
    <col min="2824" max="2824" width="92.42578125" style="765" customWidth="1"/>
    <col min="2825" max="3072" width="20.28515625" style="765"/>
    <col min="3073" max="3073" width="32" style="765" customWidth="1"/>
    <col min="3074" max="3074" width="21.42578125" style="765" bestFit="1" customWidth="1"/>
    <col min="3075" max="3075" width="15" style="765" customWidth="1"/>
    <col min="3076" max="3076" width="17.7109375" style="765" customWidth="1"/>
    <col min="3077" max="3077" width="21.42578125" style="765" bestFit="1" customWidth="1"/>
    <col min="3078" max="3078" width="21.42578125" style="765" customWidth="1"/>
    <col min="3079" max="3079" width="22.140625" style="765" customWidth="1"/>
    <col min="3080" max="3080" width="92.42578125" style="765" customWidth="1"/>
    <col min="3081" max="3328" width="20.28515625" style="765"/>
    <col min="3329" max="3329" width="32" style="765" customWidth="1"/>
    <col min="3330" max="3330" width="21.42578125" style="765" bestFit="1" customWidth="1"/>
    <col min="3331" max="3331" width="15" style="765" customWidth="1"/>
    <col min="3332" max="3332" width="17.7109375" style="765" customWidth="1"/>
    <col min="3333" max="3333" width="21.42578125" style="765" bestFit="1" customWidth="1"/>
    <col min="3334" max="3334" width="21.42578125" style="765" customWidth="1"/>
    <col min="3335" max="3335" width="22.140625" style="765" customWidth="1"/>
    <col min="3336" max="3336" width="92.42578125" style="765" customWidth="1"/>
    <col min="3337" max="3584" width="20.28515625" style="765"/>
    <col min="3585" max="3585" width="32" style="765" customWidth="1"/>
    <col min="3586" max="3586" width="21.42578125" style="765" bestFit="1" customWidth="1"/>
    <col min="3587" max="3587" width="15" style="765" customWidth="1"/>
    <col min="3588" max="3588" width="17.7109375" style="765" customWidth="1"/>
    <col min="3589" max="3589" width="21.42578125" style="765" bestFit="1" customWidth="1"/>
    <col min="3590" max="3590" width="21.42578125" style="765" customWidth="1"/>
    <col min="3591" max="3591" width="22.140625" style="765" customWidth="1"/>
    <col min="3592" max="3592" width="92.42578125" style="765" customWidth="1"/>
    <col min="3593" max="3840" width="20.28515625" style="765"/>
    <col min="3841" max="3841" width="32" style="765" customWidth="1"/>
    <col min="3842" max="3842" width="21.42578125" style="765" bestFit="1" customWidth="1"/>
    <col min="3843" max="3843" width="15" style="765" customWidth="1"/>
    <col min="3844" max="3844" width="17.7109375" style="765" customWidth="1"/>
    <col min="3845" max="3845" width="21.42578125" style="765" bestFit="1" customWidth="1"/>
    <col min="3846" max="3846" width="21.42578125" style="765" customWidth="1"/>
    <col min="3847" max="3847" width="22.140625" style="765" customWidth="1"/>
    <col min="3848" max="3848" width="92.42578125" style="765" customWidth="1"/>
    <col min="3849" max="4096" width="20.28515625" style="765"/>
    <col min="4097" max="4097" width="32" style="765" customWidth="1"/>
    <col min="4098" max="4098" width="21.42578125" style="765" bestFit="1" customWidth="1"/>
    <col min="4099" max="4099" width="15" style="765" customWidth="1"/>
    <col min="4100" max="4100" width="17.7109375" style="765" customWidth="1"/>
    <col min="4101" max="4101" width="21.42578125" style="765" bestFit="1" customWidth="1"/>
    <col min="4102" max="4102" width="21.42578125" style="765" customWidth="1"/>
    <col min="4103" max="4103" width="22.140625" style="765" customWidth="1"/>
    <col min="4104" max="4104" width="92.42578125" style="765" customWidth="1"/>
    <col min="4105" max="4352" width="20.28515625" style="765"/>
    <col min="4353" max="4353" width="32" style="765" customWidth="1"/>
    <col min="4354" max="4354" width="21.42578125" style="765" bestFit="1" customWidth="1"/>
    <col min="4355" max="4355" width="15" style="765" customWidth="1"/>
    <col min="4356" max="4356" width="17.7109375" style="765" customWidth="1"/>
    <col min="4357" max="4357" width="21.42578125" style="765" bestFit="1" customWidth="1"/>
    <col min="4358" max="4358" width="21.42578125" style="765" customWidth="1"/>
    <col min="4359" max="4359" width="22.140625" style="765" customWidth="1"/>
    <col min="4360" max="4360" width="92.42578125" style="765" customWidth="1"/>
    <col min="4361" max="4608" width="20.28515625" style="765"/>
    <col min="4609" max="4609" width="32" style="765" customWidth="1"/>
    <col min="4610" max="4610" width="21.42578125" style="765" bestFit="1" customWidth="1"/>
    <col min="4611" max="4611" width="15" style="765" customWidth="1"/>
    <col min="4612" max="4612" width="17.7109375" style="765" customWidth="1"/>
    <col min="4613" max="4613" width="21.42578125" style="765" bestFit="1" customWidth="1"/>
    <col min="4614" max="4614" width="21.42578125" style="765" customWidth="1"/>
    <col min="4615" max="4615" width="22.140625" style="765" customWidth="1"/>
    <col min="4616" max="4616" width="92.42578125" style="765" customWidth="1"/>
    <col min="4617" max="4864" width="20.28515625" style="765"/>
    <col min="4865" max="4865" width="32" style="765" customWidth="1"/>
    <col min="4866" max="4866" width="21.42578125" style="765" bestFit="1" customWidth="1"/>
    <col min="4867" max="4867" width="15" style="765" customWidth="1"/>
    <col min="4868" max="4868" width="17.7109375" style="765" customWidth="1"/>
    <col min="4869" max="4869" width="21.42578125" style="765" bestFit="1" customWidth="1"/>
    <col min="4870" max="4870" width="21.42578125" style="765" customWidth="1"/>
    <col min="4871" max="4871" width="22.140625" style="765" customWidth="1"/>
    <col min="4872" max="4872" width="92.42578125" style="765" customWidth="1"/>
    <col min="4873" max="5120" width="20.28515625" style="765"/>
    <col min="5121" max="5121" width="32" style="765" customWidth="1"/>
    <col min="5122" max="5122" width="21.42578125" style="765" bestFit="1" customWidth="1"/>
    <col min="5123" max="5123" width="15" style="765" customWidth="1"/>
    <col min="5124" max="5124" width="17.7109375" style="765" customWidth="1"/>
    <col min="5125" max="5125" width="21.42578125" style="765" bestFit="1" customWidth="1"/>
    <col min="5126" max="5126" width="21.42578125" style="765" customWidth="1"/>
    <col min="5127" max="5127" width="22.140625" style="765" customWidth="1"/>
    <col min="5128" max="5128" width="92.42578125" style="765" customWidth="1"/>
    <col min="5129" max="5376" width="20.28515625" style="765"/>
    <col min="5377" max="5377" width="32" style="765" customWidth="1"/>
    <col min="5378" max="5378" width="21.42578125" style="765" bestFit="1" customWidth="1"/>
    <col min="5379" max="5379" width="15" style="765" customWidth="1"/>
    <col min="5380" max="5380" width="17.7109375" style="765" customWidth="1"/>
    <col min="5381" max="5381" width="21.42578125" style="765" bestFit="1" customWidth="1"/>
    <col min="5382" max="5382" width="21.42578125" style="765" customWidth="1"/>
    <col min="5383" max="5383" width="22.140625" style="765" customWidth="1"/>
    <col min="5384" max="5384" width="92.42578125" style="765" customWidth="1"/>
    <col min="5385" max="5632" width="20.28515625" style="765"/>
    <col min="5633" max="5633" width="32" style="765" customWidth="1"/>
    <col min="5634" max="5634" width="21.42578125" style="765" bestFit="1" customWidth="1"/>
    <col min="5635" max="5635" width="15" style="765" customWidth="1"/>
    <col min="5636" max="5636" width="17.7109375" style="765" customWidth="1"/>
    <col min="5637" max="5637" width="21.42578125" style="765" bestFit="1" customWidth="1"/>
    <col min="5638" max="5638" width="21.42578125" style="765" customWidth="1"/>
    <col min="5639" max="5639" width="22.140625" style="765" customWidth="1"/>
    <col min="5640" max="5640" width="92.42578125" style="765" customWidth="1"/>
    <col min="5641" max="5888" width="20.28515625" style="765"/>
    <col min="5889" max="5889" width="32" style="765" customWidth="1"/>
    <col min="5890" max="5890" width="21.42578125" style="765" bestFit="1" customWidth="1"/>
    <col min="5891" max="5891" width="15" style="765" customWidth="1"/>
    <col min="5892" max="5892" width="17.7109375" style="765" customWidth="1"/>
    <col min="5893" max="5893" width="21.42578125" style="765" bestFit="1" customWidth="1"/>
    <col min="5894" max="5894" width="21.42578125" style="765" customWidth="1"/>
    <col min="5895" max="5895" width="22.140625" style="765" customWidth="1"/>
    <col min="5896" max="5896" width="92.42578125" style="765" customWidth="1"/>
    <col min="5897" max="6144" width="20.28515625" style="765"/>
    <col min="6145" max="6145" width="32" style="765" customWidth="1"/>
    <col min="6146" max="6146" width="21.42578125" style="765" bestFit="1" customWidth="1"/>
    <col min="6147" max="6147" width="15" style="765" customWidth="1"/>
    <col min="6148" max="6148" width="17.7109375" style="765" customWidth="1"/>
    <col min="6149" max="6149" width="21.42578125" style="765" bestFit="1" customWidth="1"/>
    <col min="6150" max="6150" width="21.42578125" style="765" customWidth="1"/>
    <col min="6151" max="6151" width="22.140625" style="765" customWidth="1"/>
    <col min="6152" max="6152" width="92.42578125" style="765" customWidth="1"/>
    <col min="6153" max="6400" width="20.28515625" style="765"/>
    <col min="6401" max="6401" width="32" style="765" customWidth="1"/>
    <col min="6402" max="6402" width="21.42578125" style="765" bestFit="1" customWidth="1"/>
    <col min="6403" max="6403" width="15" style="765" customWidth="1"/>
    <col min="6404" max="6404" width="17.7109375" style="765" customWidth="1"/>
    <col min="6405" max="6405" width="21.42578125" style="765" bestFit="1" customWidth="1"/>
    <col min="6406" max="6406" width="21.42578125" style="765" customWidth="1"/>
    <col min="6407" max="6407" width="22.140625" style="765" customWidth="1"/>
    <col min="6408" max="6408" width="92.42578125" style="765" customWidth="1"/>
    <col min="6409" max="6656" width="20.28515625" style="765"/>
    <col min="6657" max="6657" width="32" style="765" customWidth="1"/>
    <col min="6658" max="6658" width="21.42578125" style="765" bestFit="1" customWidth="1"/>
    <col min="6659" max="6659" width="15" style="765" customWidth="1"/>
    <col min="6660" max="6660" width="17.7109375" style="765" customWidth="1"/>
    <col min="6661" max="6661" width="21.42578125" style="765" bestFit="1" customWidth="1"/>
    <col min="6662" max="6662" width="21.42578125" style="765" customWidth="1"/>
    <col min="6663" max="6663" width="22.140625" style="765" customWidth="1"/>
    <col min="6664" max="6664" width="92.42578125" style="765" customWidth="1"/>
    <col min="6665" max="6912" width="20.28515625" style="765"/>
    <col min="6913" max="6913" width="32" style="765" customWidth="1"/>
    <col min="6914" max="6914" width="21.42578125" style="765" bestFit="1" customWidth="1"/>
    <col min="6915" max="6915" width="15" style="765" customWidth="1"/>
    <col min="6916" max="6916" width="17.7109375" style="765" customWidth="1"/>
    <col min="6917" max="6917" width="21.42578125" style="765" bestFit="1" customWidth="1"/>
    <col min="6918" max="6918" width="21.42578125" style="765" customWidth="1"/>
    <col min="6919" max="6919" width="22.140625" style="765" customWidth="1"/>
    <col min="6920" max="6920" width="92.42578125" style="765" customWidth="1"/>
    <col min="6921" max="7168" width="20.28515625" style="765"/>
    <col min="7169" max="7169" width="32" style="765" customWidth="1"/>
    <col min="7170" max="7170" width="21.42578125" style="765" bestFit="1" customWidth="1"/>
    <col min="7171" max="7171" width="15" style="765" customWidth="1"/>
    <col min="7172" max="7172" width="17.7109375" style="765" customWidth="1"/>
    <col min="7173" max="7173" width="21.42578125" style="765" bestFit="1" customWidth="1"/>
    <col min="7174" max="7174" width="21.42578125" style="765" customWidth="1"/>
    <col min="7175" max="7175" width="22.140625" style="765" customWidth="1"/>
    <col min="7176" max="7176" width="92.42578125" style="765" customWidth="1"/>
    <col min="7177" max="7424" width="20.28515625" style="765"/>
    <col min="7425" max="7425" width="32" style="765" customWidth="1"/>
    <col min="7426" max="7426" width="21.42578125" style="765" bestFit="1" customWidth="1"/>
    <col min="7427" max="7427" width="15" style="765" customWidth="1"/>
    <col min="7428" max="7428" width="17.7109375" style="765" customWidth="1"/>
    <col min="7429" max="7429" width="21.42578125" style="765" bestFit="1" customWidth="1"/>
    <col min="7430" max="7430" width="21.42578125" style="765" customWidth="1"/>
    <col min="7431" max="7431" width="22.140625" style="765" customWidth="1"/>
    <col min="7432" max="7432" width="92.42578125" style="765" customWidth="1"/>
    <col min="7433" max="7680" width="20.28515625" style="765"/>
    <col min="7681" max="7681" width="32" style="765" customWidth="1"/>
    <col min="7682" max="7682" width="21.42578125" style="765" bestFit="1" customWidth="1"/>
    <col min="7683" max="7683" width="15" style="765" customWidth="1"/>
    <col min="7684" max="7684" width="17.7109375" style="765" customWidth="1"/>
    <col min="7685" max="7685" width="21.42578125" style="765" bestFit="1" customWidth="1"/>
    <col min="7686" max="7686" width="21.42578125" style="765" customWidth="1"/>
    <col min="7687" max="7687" width="22.140625" style="765" customWidth="1"/>
    <col min="7688" max="7688" width="92.42578125" style="765" customWidth="1"/>
    <col min="7689" max="7936" width="20.28515625" style="765"/>
    <col min="7937" max="7937" width="32" style="765" customWidth="1"/>
    <col min="7938" max="7938" width="21.42578125" style="765" bestFit="1" customWidth="1"/>
    <col min="7939" max="7939" width="15" style="765" customWidth="1"/>
    <col min="7940" max="7940" width="17.7109375" style="765" customWidth="1"/>
    <col min="7941" max="7941" width="21.42578125" style="765" bestFit="1" customWidth="1"/>
    <col min="7942" max="7942" width="21.42578125" style="765" customWidth="1"/>
    <col min="7943" max="7943" width="22.140625" style="765" customWidth="1"/>
    <col min="7944" max="7944" width="92.42578125" style="765" customWidth="1"/>
    <col min="7945" max="8192" width="20.28515625" style="765"/>
    <col min="8193" max="8193" width="32" style="765" customWidth="1"/>
    <col min="8194" max="8194" width="21.42578125" style="765" bestFit="1" customWidth="1"/>
    <col min="8195" max="8195" width="15" style="765" customWidth="1"/>
    <col min="8196" max="8196" width="17.7109375" style="765" customWidth="1"/>
    <col min="8197" max="8197" width="21.42578125" style="765" bestFit="1" customWidth="1"/>
    <col min="8198" max="8198" width="21.42578125" style="765" customWidth="1"/>
    <col min="8199" max="8199" width="22.140625" style="765" customWidth="1"/>
    <col min="8200" max="8200" width="92.42578125" style="765" customWidth="1"/>
    <col min="8201" max="8448" width="20.28515625" style="765"/>
    <col min="8449" max="8449" width="32" style="765" customWidth="1"/>
    <col min="8450" max="8450" width="21.42578125" style="765" bestFit="1" customWidth="1"/>
    <col min="8451" max="8451" width="15" style="765" customWidth="1"/>
    <col min="8452" max="8452" width="17.7109375" style="765" customWidth="1"/>
    <col min="8453" max="8453" width="21.42578125" style="765" bestFit="1" customWidth="1"/>
    <col min="8454" max="8454" width="21.42578125" style="765" customWidth="1"/>
    <col min="8455" max="8455" width="22.140625" style="765" customWidth="1"/>
    <col min="8456" max="8456" width="92.42578125" style="765" customWidth="1"/>
    <col min="8457" max="8704" width="20.28515625" style="765"/>
    <col min="8705" max="8705" width="32" style="765" customWidth="1"/>
    <col min="8706" max="8706" width="21.42578125" style="765" bestFit="1" customWidth="1"/>
    <col min="8707" max="8707" width="15" style="765" customWidth="1"/>
    <col min="8708" max="8708" width="17.7109375" style="765" customWidth="1"/>
    <col min="8709" max="8709" width="21.42578125" style="765" bestFit="1" customWidth="1"/>
    <col min="8710" max="8710" width="21.42578125" style="765" customWidth="1"/>
    <col min="8711" max="8711" width="22.140625" style="765" customWidth="1"/>
    <col min="8712" max="8712" width="92.42578125" style="765" customWidth="1"/>
    <col min="8713" max="8960" width="20.28515625" style="765"/>
    <col min="8961" max="8961" width="32" style="765" customWidth="1"/>
    <col min="8962" max="8962" width="21.42578125" style="765" bestFit="1" customWidth="1"/>
    <col min="8963" max="8963" width="15" style="765" customWidth="1"/>
    <col min="8964" max="8964" width="17.7109375" style="765" customWidth="1"/>
    <col min="8965" max="8965" width="21.42578125" style="765" bestFit="1" customWidth="1"/>
    <col min="8966" max="8966" width="21.42578125" style="765" customWidth="1"/>
    <col min="8967" max="8967" width="22.140625" style="765" customWidth="1"/>
    <col min="8968" max="8968" width="92.42578125" style="765" customWidth="1"/>
    <col min="8969" max="9216" width="20.28515625" style="765"/>
    <col min="9217" max="9217" width="32" style="765" customWidth="1"/>
    <col min="9218" max="9218" width="21.42578125" style="765" bestFit="1" customWidth="1"/>
    <col min="9219" max="9219" width="15" style="765" customWidth="1"/>
    <col min="9220" max="9220" width="17.7109375" style="765" customWidth="1"/>
    <col min="9221" max="9221" width="21.42578125" style="765" bestFit="1" customWidth="1"/>
    <col min="9222" max="9222" width="21.42578125" style="765" customWidth="1"/>
    <col min="9223" max="9223" width="22.140625" style="765" customWidth="1"/>
    <col min="9224" max="9224" width="92.42578125" style="765" customWidth="1"/>
    <col min="9225" max="9472" width="20.28515625" style="765"/>
    <col min="9473" max="9473" width="32" style="765" customWidth="1"/>
    <col min="9474" max="9474" width="21.42578125" style="765" bestFit="1" customWidth="1"/>
    <col min="9475" max="9475" width="15" style="765" customWidth="1"/>
    <col min="9476" max="9476" width="17.7109375" style="765" customWidth="1"/>
    <col min="9477" max="9477" width="21.42578125" style="765" bestFit="1" customWidth="1"/>
    <col min="9478" max="9478" width="21.42578125" style="765" customWidth="1"/>
    <col min="9479" max="9479" width="22.140625" style="765" customWidth="1"/>
    <col min="9480" max="9480" width="92.42578125" style="765" customWidth="1"/>
    <col min="9481" max="9728" width="20.28515625" style="765"/>
    <col min="9729" max="9729" width="32" style="765" customWidth="1"/>
    <col min="9730" max="9730" width="21.42578125" style="765" bestFit="1" customWidth="1"/>
    <col min="9731" max="9731" width="15" style="765" customWidth="1"/>
    <col min="9732" max="9732" width="17.7109375" style="765" customWidth="1"/>
    <col min="9733" max="9733" width="21.42578125" style="765" bestFit="1" customWidth="1"/>
    <col min="9734" max="9734" width="21.42578125" style="765" customWidth="1"/>
    <col min="9735" max="9735" width="22.140625" style="765" customWidth="1"/>
    <col min="9736" max="9736" width="92.42578125" style="765" customWidth="1"/>
    <col min="9737" max="9984" width="20.28515625" style="765"/>
    <col min="9985" max="9985" width="32" style="765" customWidth="1"/>
    <col min="9986" max="9986" width="21.42578125" style="765" bestFit="1" customWidth="1"/>
    <col min="9987" max="9987" width="15" style="765" customWidth="1"/>
    <col min="9988" max="9988" width="17.7109375" style="765" customWidth="1"/>
    <col min="9989" max="9989" width="21.42578125" style="765" bestFit="1" customWidth="1"/>
    <col min="9990" max="9990" width="21.42578125" style="765" customWidth="1"/>
    <col min="9991" max="9991" width="22.140625" style="765" customWidth="1"/>
    <col min="9992" max="9992" width="92.42578125" style="765" customWidth="1"/>
    <col min="9993" max="10240" width="20.28515625" style="765"/>
    <col min="10241" max="10241" width="32" style="765" customWidth="1"/>
    <col min="10242" max="10242" width="21.42578125" style="765" bestFit="1" customWidth="1"/>
    <col min="10243" max="10243" width="15" style="765" customWidth="1"/>
    <col min="10244" max="10244" width="17.7109375" style="765" customWidth="1"/>
    <col min="10245" max="10245" width="21.42578125" style="765" bestFit="1" customWidth="1"/>
    <col min="10246" max="10246" width="21.42578125" style="765" customWidth="1"/>
    <col min="10247" max="10247" width="22.140625" style="765" customWidth="1"/>
    <col min="10248" max="10248" width="92.42578125" style="765" customWidth="1"/>
    <col min="10249" max="10496" width="20.28515625" style="765"/>
    <col min="10497" max="10497" width="32" style="765" customWidth="1"/>
    <col min="10498" max="10498" width="21.42578125" style="765" bestFit="1" customWidth="1"/>
    <col min="10499" max="10499" width="15" style="765" customWidth="1"/>
    <col min="10500" max="10500" width="17.7109375" style="765" customWidth="1"/>
    <col min="10501" max="10501" width="21.42578125" style="765" bestFit="1" customWidth="1"/>
    <col min="10502" max="10502" width="21.42578125" style="765" customWidth="1"/>
    <col min="10503" max="10503" width="22.140625" style="765" customWidth="1"/>
    <col min="10504" max="10504" width="92.42578125" style="765" customWidth="1"/>
    <col min="10505" max="10752" width="20.28515625" style="765"/>
    <col min="10753" max="10753" width="32" style="765" customWidth="1"/>
    <col min="10754" max="10754" width="21.42578125" style="765" bestFit="1" customWidth="1"/>
    <col min="10755" max="10755" width="15" style="765" customWidth="1"/>
    <col min="10756" max="10756" width="17.7109375" style="765" customWidth="1"/>
    <col min="10757" max="10757" width="21.42578125" style="765" bestFit="1" customWidth="1"/>
    <col min="10758" max="10758" width="21.42578125" style="765" customWidth="1"/>
    <col min="10759" max="10759" width="22.140625" style="765" customWidth="1"/>
    <col min="10760" max="10760" width="92.42578125" style="765" customWidth="1"/>
    <col min="10761" max="11008" width="20.28515625" style="765"/>
    <col min="11009" max="11009" width="32" style="765" customWidth="1"/>
    <col min="11010" max="11010" width="21.42578125" style="765" bestFit="1" customWidth="1"/>
    <col min="11011" max="11011" width="15" style="765" customWidth="1"/>
    <col min="11012" max="11012" width="17.7109375" style="765" customWidth="1"/>
    <col min="11013" max="11013" width="21.42578125" style="765" bestFit="1" customWidth="1"/>
    <col min="11014" max="11014" width="21.42578125" style="765" customWidth="1"/>
    <col min="11015" max="11015" width="22.140625" style="765" customWidth="1"/>
    <col min="11016" max="11016" width="92.42578125" style="765" customWidth="1"/>
    <col min="11017" max="11264" width="20.28515625" style="765"/>
    <col min="11265" max="11265" width="32" style="765" customWidth="1"/>
    <col min="11266" max="11266" width="21.42578125" style="765" bestFit="1" customWidth="1"/>
    <col min="11267" max="11267" width="15" style="765" customWidth="1"/>
    <col min="11268" max="11268" width="17.7109375" style="765" customWidth="1"/>
    <col min="11269" max="11269" width="21.42578125" style="765" bestFit="1" customWidth="1"/>
    <col min="11270" max="11270" width="21.42578125" style="765" customWidth="1"/>
    <col min="11271" max="11271" width="22.140625" style="765" customWidth="1"/>
    <col min="11272" max="11272" width="92.42578125" style="765" customWidth="1"/>
    <col min="11273" max="11520" width="20.28515625" style="765"/>
    <col min="11521" max="11521" width="32" style="765" customWidth="1"/>
    <col min="11522" max="11522" width="21.42578125" style="765" bestFit="1" customWidth="1"/>
    <col min="11523" max="11523" width="15" style="765" customWidth="1"/>
    <col min="11524" max="11524" width="17.7109375" style="765" customWidth="1"/>
    <col min="11525" max="11525" width="21.42578125" style="765" bestFit="1" customWidth="1"/>
    <col min="11526" max="11526" width="21.42578125" style="765" customWidth="1"/>
    <col min="11527" max="11527" width="22.140625" style="765" customWidth="1"/>
    <col min="11528" max="11528" width="92.42578125" style="765" customWidth="1"/>
    <col min="11529" max="11776" width="20.28515625" style="765"/>
    <col min="11777" max="11777" width="32" style="765" customWidth="1"/>
    <col min="11778" max="11778" width="21.42578125" style="765" bestFit="1" customWidth="1"/>
    <col min="11779" max="11779" width="15" style="765" customWidth="1"/>
    <col min="11780" max="11780" width="17.7109375" style="765" customWidth="1"/>
    <col min="11781" max="11781" width="21.42578125" style="765" bestFit="1" customWidth="1"/>
    <col min="11782" max="11782" width="21.42578125" style="765" customWidth="1"/>
    <col min="11783" max="11783" width="22.140625" style="765" customWidth="1"/>
    <col min="11784" max="11784" width="92.42578125" style="765" customWidth="1"/>
    <col min="11785" max="12032" width="20.28515625" style="765"/>
    <col min="12033" max="12033" width="32" style="765" customWidth="1"/>
    <col min="12034" max="12034" width="21.42578125" style="765" bestFit="1" customWidth="1"/>
    <col min="12035" max="12035" width="15" style="765" customWidth="1"/>
    <col min="12036" max="12036" width="17.7109375" style="765" customWidth="1"/>
    <col min="12037" max="12037" width="21.42578125" style="765" bestFit="1" customWidth="1"/>
    <col min="12038" max="12038" width="21.42578125" style="765" customWidth="1"/>
    <col min="12039" max="12039" width="22.140625" style="765" customWidth="1"/>
    <col min="12040" max="12040" width="92.42578125" style="765" customWidth="1"/>
    <col min="12041" max="12288" width="20.28515625" style="765"/>
    <col min="12289" max="12289" width="32" style="765" customWidth="1"/>
    <col min="12290" max="12290" width="21.42578125" style="765" bestFit="1" customWidth="1"/>
    <col min="12291" max="12291" width="15" style="765" customWidth="1"/>
    <col min="12292" max="12292" width="17.7109375" style="765" customWidth="1"/>
    <col min="12293" max="12293" width="21.42578125" style="765" bestFit="1" customWidth="1"/>
    <col min="12294" max="12294" width="21.42578125" style="765" customWidth="1"/>
    <col min="12295" max="12295" width="22.140625" style="765" customWidth="1"/>
    <col min="12296" max="12296" width="92.42578125" style="765" customWidth="1"/>
    <col min="12297" max="12544" width="20.28515625" style="765"/>
    <col min="12545" max="12545" width="32" style="765" customWidth="1"/>
    <col min="12546" max="12546" width="21.42578125" style="765" bestFit="1" customWidth="1"/>
    <col min="12547" max="12547" width="15" style="765" customWidth="1"/>
    <col min="12548" max="12548" width="17.7109375" style="765" customWidth="1"/>
    <col min="12549" max="12549" width="21.42578125" style="765" bestFit="1" customWidth="1"/>
    <col min="12550" max="12550" width="21.42578125" style="765" customWidth="1"/>
    <col min="12551" max="12551" width="22.140625" style="765" customWidth="1"/>
    <col min="12552" max="12552" width="92.42578125" style="765" customWidth="1"/>
    <col min="12553" max="12800" width="20.28515625" style="765"/>
    <col min="12801" max="12801" width="32" style="765" customWidth="1"/>
    <col min="12802" max="12802" width="21.42578125" style="765" bestFit="1" customWidth="1"/>
    <col min="12803" max="12803" width="15" style="765" customWidth="1"/>
    <col min="12804" max="12804" width="17.7109375" style="765" customWidth="1"/>
    <col min="12805" max="12805" width="21.42578125" style="765" bestFit="1" customWidth="1"/>
    <col min="12806" max="12806" width="21.42578125" style="765" customWidth="1"/>
    <col min="12807" max="12807" width="22.140625" style="765" customWidth="1"/>
    <col min="12808" max="12808" width="92.42578125" style="765" customWidth="1"/>
    <col min="12809" max="13056" width="20.28515625" style="765"/>
    <col min="13057" max="13057" width="32" style="765" customWidth="1"/>
    <col min="13058" max="13058" width="21.42578125" style="765" bestFit="1" customWidth="1"/>
    <col min="13059" max="13059" width="15" style="765" customWidth="1"/>
    <col min="13060" max="13060" width="17.7109375" style="765" customWidth="1"/>
    <col min="13061" max="13061" width="21.42578125" style="765" bestFit="1" customWidth="1"/>
    <col min="13062" max="13062" width="21.42578125" style="765" customWidth="1"/>
    <col min="13063" max="13063" width="22.140625" style="765" customWidth="1"/>
    <col min="13064" max="13064" width="92.42578125" style="765" customWidth="1"/>
    <col min="13065" max="13312" width="20.28515625" style="765"/>
    <col min="13313" max="13313" width="32" style="765" customWidth="1"/>
    <col min="13314" max="13314" width="21.42578125" style="765" bestFit="1" customWidth="1"/>
    <col min="13315" max="13315" width="15" style="765" customWidth="1"/>
    <col min="13316" max="13316" width="17.7109375" style="765" customWidth="1"/>
    <col min="13317" max="13317" width="21.42578125" style="765" bestFit="1" customWidth="1"/>
    <col min="13318" max="13318" width="21.42578125" style="765" customWidth="1"/>
    <col min="13319" max="13319" width="22.140625" style="765" customWidth="1"/>
    <col min="13320" max="13320" width="92.42578125" style="765" customWidth="1"/>
    <col min="13321" max="13568" width="20.28515625" style="765"/>
    <col min="13569" max="13569" width="32" style="765" customWidth="1"/>
    <col min="13570" max="13570" width="21.42578125" style="765" bestFit="1" customWidth="1"/>
    <col min="13571" max="13571" width="15" style="765" customWidth="1"/>
    <col min="13572" max="13572" width="17.7109375" style="765" customWidth="1"/>
    <col min="13573" max="13573" width="21.42578125" style="765" bestFit="1" customWidth="1"/>
    <col min="13574" max="13574" width="21.42578125" style="765" customWidth="1"/>
    <col min="13575" max="13575" width="22.140625" style="765" customWidth="1"/>
    <col min="13576" max="13576" width="92.42578125" style="765" customWidth="1"/>
    <col min="13577" max="13824" width="20.28515625" style="765"/>
    <col min="13825" max="13825" width="32" style="765" customWidth="1"/>
    <col min="13826" max="13826" width="21.42578125" style="765" bestFit="1" customWidth="1"/>
    <col min="13827" max="13827" width="15" style="765" customWidth="1"/>
    <col min="13828" max="13828" width="17.7109375" style="765" customWidth="1"/>
    <col min="13829" max="13829" width="21.42578125" style="765" bestFit="1" customWidth="1"/>
    <col min="13830" max="13830" width="21.42578125" style="765" customWidth="1"/>
    <col min="13831" max="13831" width="22.140625" style="765" customWidth="1"/>
    <col min="13832" max="13832" width="92.42578125" style="765" customWidth="1"/>
    <col min="13833" max="14080" width="20.28515625" style="765"/>
    <col min="14081" max="14081" width="32" style="765" customWidth="1"/>
    <col min="14082" max="14082" width="21.42578125" style="765" bestFit="1" customWidth="1"/>
    <col min="14083" max="14083" width="15" style="765" customWidth="1"/>
    <col min="14084" max="14084" width="17.7109375" style="765" customWidth="1"/>
    <col min="14085" max="14085" width="21.42578125" style="765" bestFit="1" customWidth="1"/>
    <col min="14086" max="14086" width="21.42578125" style="765" customWidth="1"/>
    <col min="14087" max="14087" width="22.140625" style="765" customWidth="1"/>
    <col min="14088" max="14088" width="92.42578125" style="765" customWidth="1"/>
    <col min="14089" max="14336" width="20.28515625" style="765"/>
    <col min="14337" max="14337" width="32" style="765" customWidth="1"/>
    <col min="14338" max="14338" width="21.42578125" style="765" bestFit="1" customWidth="1"/>
    <col min="14339" max="14339" width="15" style="765" customWidth="1"/>
    <col min="14340" max="14340" width="17.7109375" style="765" customWidth="1"/>
    <col min="14341" max="14341" width="21.42578125" style="765" bestFit="1" customWidth="1"/>
    <col min="14342" max="14342" width="21.42578125" style="765" customWidth="1"/>
    <col min="14343" max="14343" width="22.140625" style="765" customWidth="1"/>
    <col min="14344" max="14344" width="92.42578125" style="765" customWidth="1"/>
    <col min="14345" max="14592" width="20.28515625" style="765"/>
    <col min="14593" max="14593" width="32" style="765" customWidth="1"/>
    <col min="14594" max="14594" width="21.42578125" style="765" bestFit="1" customWidth="1"/>
    <col min="14595" max="14595" width="15" style="765" customWidth="1"/>
    <col min="14596" max="14596" width="17.7109375" style="765" customWidth="1"/>
    <col min="14597" max="14597" width="21.42578125" style="765" bestFit="1" customWidth="1"/>
    <col min="14598" max="14598" width="21.42578125" style="765" customWidth="1"/>
    <col min="14599" max="14599" width="22.140625" style="765" customWidth="1"/>
    <col min="14600" max="14600" width="92.42578125" style="765" customWidth="1"/>
    <col min="14601" max="14848" width="20.28515625" style="765"/>
    <col min="14849" max="14849" width="32" style="765" customWidth="1"/>
    <col min="14850" max="14850" width="21.42578125" style="765" bestFit="1" customWidth="1"/>
    <col min="14851" max="14851" width="15" style="765" customWidth="1"/>
    <col min="14852" max="14852" width="17.7109375" style="765" customWidth="1"/>
    <col min="14853" max="14853" width="21.42578125" style="765" bestFit="1" customWidth="1"/>
    <col min="14854" max="14854" width="21.42578125" style="765" customWidth="1"/>
    <col min="14855" max="14855" width="22.140625" style="765" customWidth="1"/>
    <col min="14856" max="14856" width="92.42578125" style="765" customWidth="1"/>
    <col min="14857" max="15104" width="20.28515625" style="765"/>
    <col min="15105" max="15105" width="32" style="765" customWidth="1"/>
    <col min="15106" max="15106" width="21.42578125" style="765" bestFit="1" customWidth="1"/>
    <col min="15107" max="15107" width="15" style="765" customWidth="1"/>
    <col min="15108" max="15108" width="17.7109375" style="765" customWidth="1"/>
    <col min="15109" max="15109" width="21.42578125" style="765" bestFit="1" customWidth="1"/>
    <col min="15110" max="15110" width="21.42578125" style="765" customWidth="1"/>
    <col min="15111" max="15111" width="22.140625" style="765" customWidth="1"/>
    <col min="15112" max="15112" width="92.42578125" style="765" customWidth="1"/>
    <col min="15113" max="15360" width="20.28515625" style="765"/>
    <col min="15361" max="15361" width="32" style="765" customWidth="1"/>
    <col min="15362" max="15362" width="21.42578125" style="765" bestFit="1" customWidth="1"/>
    <col min="15363" max="15363" width="15" style="765" customWidth="1"/>
    <col min="15364" max="15364" width="17.7109375" style="765" customWidth="1"/>
    <col min="15365" max="15365" width="21.42578125" style="765" bestFit="1" customWidth="1"/>
    <col min="15366" max="15366" width="21.42578125" style="765" customWidth="1"/>
    <col min="15367" max="15367" width="22.140625" style="765" customWidth="1"/>
    <col min="15368" max="15368" width="92.42578125" style="765" customWidth="1"/>
    <col min="15369" max="15616" width="20.28515625" style="765"/>
    <col min="15617" max="15617" width="32" style="765" customWidth="1"/>
    <col min="15618" max="15618" width="21.42578125" style="765" bestFit="1" customWidth="1"/>
    <col min="15619" max="15619" width="15" style="765" customWidth="1"/>
    <col min="15620" max="15620" width="17.7109375" style="765" customWidth="1"/>
    <col min="15621" max="15621" width="21.42578125" style="765" bestFit="1" customWidth="1"/>
    <col min="15622" max="15622" width="21.42578125" style="765" customWidth="1"/>
    <col min="15623" max="15623" width="22.140625" style="765" customWidth="1"/>
    <col min="15624" max="15624" width="92.42578125" style="765" customWidth="1"/>
    <col min="15625" max="15872" width="20.28515625" style="765"/>
    <col min="15873" max="15873" width="32" style="765" customWidth="1"/>
    <col min="15874" max="15874" width="21.42578125" style="765" bestFit="1" customWidth="1"/>
    <col min="15875" max="15875" width="15" style="765" customWidth="1"/>
    <col min="15876" max="15876" width="17.7109375" style="765" customWidth="1"/>
    <col min="15877" max="15877" width="21.42578125" style="765" bestFit="1" customWidth="1"/>
    <col min="15878" max="15878" width="21.42578125" style="765" customWidth="1"/>
    <col min="15879" max="15879" width="22.140625" style="765" customWidth="1"/>
    <col min="15880" max="15880" width="92.42578125" style="765" customWidth="1"/>
    <col min="15881" max="16128" width="20.28515625" style="765"/>
    <col min="16129" max="16129" width="32" style="765" customWidth="1"/>
    <col min="16130" max="16130" width="21.42578125" style="765" bestFit="1" customWidth="1"/>
    <col min="16131" max="16131" width="15" style="765" customWidth="1"/>
    <col min="16132" max="16132" width="17.7109375" style="765" customWidth="1"/>
    <col min="16133" max="16133" width="21.42578125" style="765" bestFit="1" customWidth="1"/>
    <col min="16134" max="16134" width="21.42578125" style="765" customWidth="1"/>
    <col min="16135" max="16135" width="22.140625" style="765" customWidth="1"/>
    <col min="16136" max="16136" width="92.42578125" style="765" customWidth="1"/>
    <col min="16137" max="16384" width="20.28515625" style="765"/>
  </cols>
  <sheetData>
    <row r="1" spans="1:9" ht="15.4" customHeight="1" x14ac:dyDescent="0.25">
      <c r="A1" s="1572" t="s">
        <v>55</v>
      </c>
      <c r="B1" s="1572"/>
      <c r="C1" s="1572"/>
      <c r="D1" s="1572"/>
      <c r="E1" s="1572"/>
      <c r="F1" s="1572"/>
      <c r="G1" s="1572"/>
      <c r="H1" s="1572"/>
    </row>
    <row r="2" spans="1:9" ht="21" customHeight="1" x14ac:dyDescent="0.25">
      <c r="A2" s="1576" t="s">
        <v>629</v>
      </c>
      <c r="B2" s="1576"/>
      <c r="C2" s="1576"/>
      <c r="D2" s="1576"/>
      <c r="E2" s="1576"/>
      <c r="F2" s="1576"/>
      <c r="G2" s="1576"/>
      <c r="H2" s="1576"/>
    </row>
    <row r="3" spans="1:9" ht="15.75" thickBot="1" x14ac:dyDescent="0.3">
      <c r="B3" s="966"/>
      <c r="C3" s="967"/>
      <c r="D3" s="968"/>
      <c r="E3" s="766"/>
      <c r="F3" s="766"/>
      <c r="G3" s="767"/>
      <c r="H3" s="765"/>
    </row>
    <row r="4" spans="1:9" s="772" customFormat="1" ht="32.25" thickBot="1" x14ac:dyDescent="0.3">
      <c r="A4" s="768" t="s">
        <v>212</v>
      </c>
      <c r="B4" s="769" t="s">
        <v>373</v>
      </c>
      <c r="C4" s="770" t="s">
        <v>133</v>
      </c>
      <c r="D4" s="197" t="s">
        <v>188</v>
      </c>
      <c r="E4" s="651" t="s">
        <v>274</v>
      </c>
      <c r="F4" s="771" t="s">
        <v>374</v>
      </c>
      <c r="G4" s="976" t="s">
        <v>180</v>
      </c>
      <c r="H4" s="969" t="s">
        <v>182</v>
      </c>
    </row>
    <row r="5" spans="1:9" ht="16.5" thickBot="1" x14ac:dyDescent="0.3">
      <c r="A5" s="192" t="s">
        <v>49</v>
      </c>
      <c r="B5" s="773"/>
      <c r="C5" s="193"/>
      <c r="D5" s="194"/>
      <c r="E5" s="774">
        <f>+E6+E7</f>
        <v>56556417</v>
      </c>
      <c r="F5" s="775">
        <f>SUM(F6:F7)</f>
        <v>109767514</v>
      </c>
      <c r="G5" s="976">
        <f t="shared" ref="G5:G26" si="0">(E5-F5)/F5</f>
        <v>-0.4847617939129058</v>
      </c>
      <c r="H5" s="970"/>
      <c r="I5" s="1420"/>
    </row>
    <row r="6" spans="1:9" ht="93" customHeight="1" x14ac:dyDescent="0.25">
      <c r="A6" s="776" t="s">
        <v>375</v>
      </c>
      <c r="B6" s="777">
        <f>+E6/C6</f>
        <v>6382552.666666667</v>
      </c>
      <c r="C6" s="187">
        <v>6</v>
      </c>
      <c r="D6" s="120" t="s">
        <v>189</v>
      </c>
      <c r="E6" s="786">
        <f>+'Nomina 2019 PLANTA'!V49</f>
        <v>38295316</v>
      </c>
      <c r="F6" s="1425">
        <f>74296960-853229</f>
        <v>73443731</v>
      </c>
      <c r="G6" s="1432">
        <f t="shared" si="0"/>
        <v>-0.47857610883085444</v>
      </c>
      <c r="H6" s="971" t="s">
        <v>630</v>
      </c>
    </row>
    <row r="7" spans="1:9" ht="102" customHeight="1" thickBot="1" x14ac:dyDescent="0.3">
      <c r="A7" s="776" t="s">
        <v>376</v>
      </c>
      <c r="B7" s="777">
        <f>+E7/C7</f>
        <v>3043516.8333333335</v>
      </c>
      <c r="C7" s="187">
        <v>6</v>
      </c>
      <c r="D7" s="120" t="s">
        <v>189</v>
      </c>
      <c r="E7" s="786">
        <f>+'Nomina 2019 PLANTA'!V50</f>
        <v>18261101</v>
      </c>
      <c r="F7" s="1425">
        <v>36323783</v>
      </c>
      <c r="G7" s="1433">
        <f>(E7-F7)/F7</f>
        <v>-0.4972687453837063</v>
      </c>
      <c r="H7" s="974" t="s">
        <v>631</v>
      </c>
      <c r="I7" s="1420"/>
    </row>
    <row r="8" spans="1:9" ht="15.75" x14ac:dyDescent="0.25">
      <c r="A8" s="778" t="s">
        <v>51</v>
      </c>
      <c r="B8" s="779"/>
      <c r="C8" s="780"/>
      <c r="D8" s="781"/>
      <c r="E8" s="782" t="e">
        <f>+E9+#REF!+#REF!+#REF!+#REF!+E13</f>
        <v>#REF!</v>
      </c>
      <c r="F8" s="1426" t="e">
        <f>+F9+#REF!+#REF!+#REF!+F13</f>
        <v>#REF!</v>
      </c>
      <c r="G8" s="1434" t="e">
        <f t="shared" si="0"/>
        <v>#REF!</v>
      </c>
      <c r="H8" s="972"/>
    </row>
    <row r="9" spans="1:9" ht="15.75" x14ac:dyDescent="0.25">
      <c r="A9" s="121" t="s">
        <v>377</v>
      </c>
      <c r="B9" s="783"/>
      <c r="C9" s="181"/>
      <c r="D9" s="182"/>
      <c r="E9" s="784">
        <f>SUM(E10:E11)</f>
        <v>4300000</v>
      </c>
      <c r="F9" s="1427">
        <f>SUM(F10:F11)</f>
        <v>3680357</v>
      </c>
      <c r="G9" s="1435">
        <f t="shared" si="0"/>
        <v>0.16836491677301957</v>
      </c>
      <c r="H9" s="973"/>
    </row>
    <row r="10" spans="1:9" ht="31.15" customHeight="1" x14ac:dyDescent="0.25">
      <c r="A10" s="785" t="s">
        <v>378</v>
      </c>
      <c r="B10" s="777">
        <v>300000</v>
      </c>
      <c r="C10" s="187">
        <v>1</v>
      </c>
      <c r="D10" s="120" t="s">
        <v>379</v>
      </c>
      <c r="E10" s="786">
        <f t="shared" ref="E10:E11" si="1">+B10*C10</f>
        <v>300000</v>
      </c>
      <c r="F10" s="1425">
        <v>514564</v>
      </c>
      <c r="G10" s="1433">
        <f t="shared" si="0"/>
        <v>-0.41698214410646683</v>
      </c>
      <c r="H10" s="971" t="s">
        <v>503</v>
      </c>
    </row>
    <row r="11" spans="1:9" ht="60" x14ac:dyDescent="0.25">
      <c r="A11" s="785" t="s">
        <v>380</v>
      </c>
      <c r="B11" s="777">
        <v>4000000</v>
      </c>
      <c r="C11" s="187">
        <v>1</v>
      </c>
      <c r="D11" s="120" t="s">
        <v>379</v>
      </c>
      <c r="E11" s="786">
        <f t="shared" si="1"/>
        <v>4000000</v>
      </c>
      <c r="F11" s="1425">
        <v>3165793</v>
      </c>
      <c r="G11" s="1433">
        <f t="shared" si="0"/>
        <v>0.26350648952726852</v>
      </c>
      <c r="H11" s="971" t="s">
        <v>632</v>
      </c>
    </row>
    <row r="12" spans="1:9" s="84" customFormat="1" ht="45" x14ac:dyDescent="0.25">
      <c r="A12" s="124" t="s">
        <v>334</v>
      </c>
      <c r="B12" s="122">
        <v>30000</v>
      </c>
      <c r="C12" s="187">
        <v>1</v>
      </c>
      <c r="D12" s="120" t="s">
        <v>194</v>
      </c>
      <c r="E12" s="129">
        <f t="shared" ref="E12" si="2">+B12*C12</f>
        <v>30000</v>
      </c>
      <c r="F12" s="1070">
        <v>0</v>
      </c>
      <c r="G12" s="1375">
        <v>1</v>
      </c>
      <c r="H12" s="127" t="s">
        <v>504</v>
      </c>
      <c r="I12" s="206"/>
    </row>
    <row r="13" spans="1:9" ht="15.75" x14ac:dyDescent="0.25">
      <c r="A13" s="121" t="s">
        <v>381</v>
      </c>
      <c r="B13" s="722"/>
      <c r="C13" s="723"/>
      <c r="D13" s="185"/>
      <c r="E13" s="792">
        <f>+E14</f>
        <v>240000</v>
      </c>
      <c r="F13" s="1428">
        <f>+F14</f>
        <v>470000</v>
      </c>
      <c r="G13" s="1436">
        <f t="shared" si="0"/>
        <v>-0.48936170212765956</v>
      </c>
      <c r="H13" s="186"/>
    </row>
    <row r="14" spans="1:9" ht="30" x14ac:dyDescent="0.25">
      <c r="A14" s="796" t="s">
        <v>382</v>
      </c>
      <c r="B14" s="1223">
        <v>40000</v>
      </c>
      <c r="C14" s="187">
        <v>6</v>
      </c>
      <c r="D14" s="120" t="s">
        <v>189</v>
      </c>
      <c r="E14" s="786">
        <f>+B14*C14</f>
        <v>240000</v>
      </c>
      <c r="F14" s="1425">
        <v>470000</v>
      </c>
      <c r="G14" s="1433">
        <f t="shared" si="0"/>
        <v>-0.48936170212765956</v>
      </c>
      <c r="H14" s="971" t="s">
        <v>633</v>
      </c>
    </row>
    <row r="15" spans="1:9" ht="15.75" x14ac:dyDescent="0.25">
      <c r="A15" s="778" t="s">
        <v>86</v>
      </c>
      <c r="B15" s="779"/>
      <c r="C15" s="780"/>
      <c r="D15" s="781"/>
      <c r="E15" s="782" t="e">
        <f>+E16+E19+E21</f>
        <v>#REF!</v>
      </c>
      <c r="F15" s="1426">
        <f>+F16+F19+F21</f>
        <v>1757400544.9000001</v>
      </c>
      <c r="G15" s="1434" t="e">
        <f t="shared" si="0"/>
        <v>#REF!</v>
      </c>
      <c r="H15" s="972"/>
    </row>
    <row r="16" spans="1:9" ht="15.75" x14ac:dyDescent="0.25">
      <c r="A16" s="121" t="s">
        <v>229</v>
      </c>
      <c r="B16" s="722"/>
      <c r="C16" s="723"/>
      <c r="D16" s="185"/>
      <c r="E16" s="792" t="e">
        <f>SUM(E17:E18)</f>
        <v>#REF!</v>
      </c>
      <c r="F16" s="1428">
        <f>SUM(F17:F18)</f>
        <v>1285764000</v>
      </c>
      <c r="G16" s="1436" t="e">
        <f t="shared" si="0"/>
        <v>#REF!</v>
      </c>
      <c r="H16" s="186"/>
    </row>
    <row r="17" spans="1:8" ht="97.9" customHeight="1" x14ac:dyDescent="0.25">
      <c r="A17" s="789" t="s">
        <v>383</v>
      </c>
      <c r="B17" s="797" t="e">
        <f>+E29-B18</f>
        <v>#REF!</v>
      </c>
      <c r="C17" s="790">
        <v>1</v>
      </c>
      <c r="D17" s="791" t="s">
        <v>227</v>
      </c>
      <c r="E17" s="798" t="e">
        <f>+B17*C17</f>
        <v>#REF!</v>
      </c>
      <c r="F17" s="1429">
        <v>1180318000</v>
      </c>
      <c r="G17" s="1192" t="e">
        <f t="shared" si="0"/>
        <v>#REF!</v>
      </c>
      <c r="H17" s="971" t="s">
        <v>634</v>
      </c>
    </row>
    <row r="18" spans="1:8" ht="66.599999999999994" customHeight="1" x14ac:dyDescent="0.25">
      <c r="A18" s="789" t="s">
        <v>635</v>
      </c>
      <c r="B18" s="797">
        <v>60000000</v>
      </c>
      <c r="C18" s="790">
        <v>1</v>
      </c>
      <c r="D18" s="791" t="s">
        <v>227</v>
      </c>
      <c r="E18" s="798">
        <f>+B18*C18</f>
        <v>60000000</v>
      </c>
      <c r="F18" s="1429">
        <v>105446000</v>
      </c>
      <c r="G18" s="1192">
        <f t="shared" si="0"/>
        <v>-0.43098837319575894</v>
      </c>
      <c r="H18" s="971" t="s">
        <v>636</v>
      </c>
    </row>
    <row r="19" spans="1:8" ht="15.75" x14ac:dyDescent="0.25">
      <c r="A19" s="121" t="s">
        <v>230</v>
      </c>
      <c r="B19" s="722"/>
      <c r="C19" s="723"/>
      <c r="D19" s="185"/>
      <c r="E19" s="792" t="e">
        <f>SUM(E20:E20)</f>
        <v>#REF!</v>
      </c>
      <c r="F19" s="1428">
        <f>SUM(F20:F20)</f>
        <v>245485151.90000001</v>
      </c>
      <c r="G19" s="1436" t="e">
        <f t="shared" si="0"/>
        <v>#REF!</v>
      </c>
      <c r="H19" s="186"/>
    </row>
    <row r="20" spans="1:8" ht="46.15" customHeight="1" x14ac:dyDescent="0.25">
      <c r="A20" s="789" t="s">
        <v>384</v>
      </c>
      <c r="B20" s="797" t="e">
        <f>+E30</f>
        <v>#REF!</v>
      </c>
      <c r="C20" s="790">
        <v>1</v>
      </c>
      <c r="D20" s="791" t="s">
        <v>227</v>
      </c>
      <c r="E20" s="798" t="e">
        <f>+B20*C20</f>
        <v>#REF!</v>
      </c>
      <c r="F20" s="1429">
        <v>245485151.90000001</v>
      </c>
      <c r="G20" s="1192" t="e">
        <f t="shared" si="0"/>
        <v>#REF!</v>
      </c>
      <c r="H20" s="971" t="s">
        <v>637</v>
      </c>
    </row>
    <row r="21" spans="1:8" ht="15.75" x14ac:dyDescent="0.25">
      <c r="A21" s="121" t="s">
        <v>385</v>
      </c>
      <c r="B21" s="722"/>
      <c r="C21" s="723"/>
      <c r="D21" s="185"/>
      <c r="E21" s="792" t="e">
        <f>SUM(E22:E24)</f>
        <v>#REF!</v>
      </c>
      <c r="F21" s="1430">
        <f>SUM(F22:F24)</f>
        <v>226151393</v>
      </c>
      <c r="G21" s="1436" t="e">
        <f>(E21-F21)/F21</f>
        <v>#REF!</v>
      </c>
      <c r="H21" s="186"/>
    </row>
    <row r="22" spans="1:8" ht="80.45" customHeight="1" x14ac:dyDescent="0.25">
      <c r="A22" s="776" t="s">
        <v>386</v>
      </c>
      <c r="B22" s="777" t="e">
        <f>+E31-B23-B24-E7</f>
        <v>#REF!</v>
      </c>
      <c r="C22" s="187">
        <v>1</v>
      </c>
      <c r="D22" s="120" t="s">
        <v>227</v>
      </c>
      <c r="E22" s="786" t="e">
        <f>+B22*C22</f>
        <v>#REF!</v>
      </c>
      <c r="F22" s="1425">
        <v>226151393</v>
      </c>
      <c r="G22" s="1433" t="e">
        <f t="shared" si="0"/>
        <v>#REF!</v>
      </c>
      <c r="H22" s="971" t="s">
        <v>638</v>
      </c>
    </row>
    <row r="23" spans="1:8" ht="48.6" customHeight="1" x14ac:dyDescent="0.25">
      <c r="A23" s="776" t="s">
        <v>387</v>
      </c>
      <c r="B23" s="777">
        <v>480000</v>
      </c>
      <c r="C23" s="187">
        <v>1</v>
      </c>
      <c r="D23" s="120" t="s">
        <v>227</v>
      </c>
      <c r="E23" s="786">
        <f>B23*C23</f>
        <v>480000</v>
      </c>
      <c r="F23" s="1425">
        <v>0</v>
      </c>
      <c r="G23" s="1433">
        <v>1</v>
      </c>
      <c r="H23" s="971" t="s">
        <v>639</v>
      </c>
    </row>
    <row r="24" spans="1:8" s="1334" customFormat="1" ht="45" x14ac:dyDescent="0.25">
      <c r="A24" s="1424" t="s">
        <v>501</v>
      </c>
      <c r="B24" s="777">
        <v>300000</v>
      </c>
      <c r="C24" s="1220">
        <v>1</v>
      </c>
      <c r="D24" s="1213" t="s">
        <v>227</v>
      </c>
      <c r="E24" s="786">
        <f>B24*C24</f>
        <v>300000</v>
      </c>
      <c r="F24" s="1425">
        <v>0</v>
      </c>
      <c r="G24" s="1433">
        <v>1</v>
      </c>
      <c r="H24" s="1293" t="s">
        <v>502</v>
      </c>
    </row>
    <row r="25" spans="1:8" ht="75.75" thickBot="1" x14ac:dyDescent="0.3">
      <c r="A25" s="799" t="s">
        <v>388</v>
      </c>
      <c r="B25" s="800">
        <f>+E25/C25</f>
        <v>3043516.8333333335</v>
      </c>
      <c r="C25" s="801">
        <v>6</v>
      </c>
      <c r="D25" s="199" t="s">
        <v>227</v>
      </c>
      <c r="E25" s="802">
        <f>+E7</f>
        <v>18261101</v>
      </c>
      <c r="F25" s="1431">
        <v>36323783</v>
      </c>
      <c r="G25" s="1437">
        <f t="shared" si="0"/>
        <v>-0.4972687453837063</v>
      </c>
      <c r="H25" s="974" t="s">
        <v>640</v>
      </c>
    </row>
    <row r="26" spans="1:8" ht="16.5" thickBot="1" x14ac:dyDescent="0.3">
      <c r="A26" s="803" t="s">
        <v>90</v>
      </c>
      <c r="B26" s="804"/>
      <c r="C26" s="805"/>
      <c r="D26" s="806"/>
      <c r="E26" s="807" t="e">
        <f>+E5+E8+E15</f>
        <v>#REF!</v>
      </c>
      <c r="F26" s="808" t="e">
        <f>+F5+F8+F15</f>
        <v>#REF!</v>
      </c>
      <c r="G26" s="978" t="e">
        <f t="shared" si="0"/>
        <v>#REF!</v>
      </c>
      <c r="H26" s="975"/>
    </row>
    <row r="27" spans="1:8" ht="15.75" x14ac:dyDescent="0.25">
      <c r="A27" s="809"/>
      <c r="B27" s="810"/>
      <c r="C27" s="811"/>
      <c r="D27" s="812"/>
      <c r="E27" s="813"/>
      <c r="F27" s="813"/>
      <c r="G27" s="814"/>
      <c r="H27" s="815"/>
    </row>
    <row r="28" spans="1:8" ht="15.75" x14ac:dyDescent="0.25">
      <c r="A28" s="809"/>
      <c r="B28" s="810"/>
      <c r="C28" s="811"/>
      <c r="D28" s="812"/>
      <c r="E28" s="813"/>
      <c r="F28" s="813"/>
      <c r="G28" s="816"/>
      <c r="H28" s="815"/>
    </row>
    <row r="29" spans="1:8" ht="15.75" x14ac:dyDescent="0.25">
      <c r="A29" s="328" t="s">
        <v>389</v>
      </c>
      <c r="B29" s="817">
        <f>+E6</f>
        <v>38295316</v>
      </c>
      <c r="C29" s="818" t="s">
        <v>229</v>
      </c>
      <c r="D29" s="819">
        <v>0.67857142857142849</v>
      </c>
      <c r="E29" s="817" t="e">
        <f>+B33*D29</f>
        <v>#REF!</v>
      </c>
      <c r="F29" s="820"/>
      <c r="G29" s="816"/>
      <c r="H29" s="821"/>
    </row>
    <row r="30" spans="1:8" ht="15.75" x14ac:dyDescent="0.25">
      <c r="A30" s="328" t="s">
        <v>51</v>
      </c>
      <c r="B30" s="817" t="e">
        <f>+E8</f>
        <v>#REF!</v>
      </c>
      <c r="C30" s="822" t="s">
        <v>230</v>
      </c>
      <c r="D30" s="823">
        <v>0.17857142857142855</v>
      </c>
      <c r="E30" s="817" t="e">
        <f>+B33*D30</f>
        <v>#REF!</v>
      </c>
      <c r="F30" s="820"/>
      <c r="G30" s="816"/>
      <c r="H30" s="821"/>
    </row>
    <row r="31" spans="1:8" s="826" customFormat="1" ht="15.75" x14ac:dyDescent="0.25">
      <c r="A31" s="824" t="s">
        <v>390</v>
      </c>
      <c r="B31" s="825" t="e">
        <f>+B29+B30</f>
        <v>#REF!</v>
      </c>
      <c r="C31" s="822" t="s">
        <v>385</v>
      </c>
      <c r="D31" s="823">
        <v>0.14285714285714282</v>
      </c>
      <c r="E31" s="817" t="e">
        <f>+B33*D31</f>
        <v>#REF!</v>
      </c>
      <c r="F31" s="847" t="e">
        <f>+E31-E25</f>
        <v>#REF!</v>
      </c>
      <c r="G31" s="816"/>
      <c r="H31" s="821"/>
    </row>
    <row r="32" spans="1:8" s="826" customFormat="1" x14ac:dyDescent="0.25">
      <c r="A32" s="827" t="s">
        <v>391</v>
      </c>
      <c r="B32" s="828">
        <f>+'[3]cuadro porcentajes'!$P$36</f>
        <v>840000000</v>
      </c>
      <c r="C32" s="187"/>
      <c r="D32" s="188"/>
      <c r="E32" s="188"/>
      <c r="F32" s="772"/>
      <c r="G32" s="829"/>
      <c r="H32" s="830"/>
    </row>
    <row r="33" spans="1:14" s="826" customFormat="1" ht="15.75" x14ac:dyDescent="0.25">
      <c r="A33" s="328" t="s">
        <v>86</v>
      </c>
      <c r="B33" s="831" t="e">
        <f>+B32-B31</f>
        <v>#REF!</v>
      </c>
      <c r="C33" s="822"/>
      <c r="D33" s="832">
        <v>1</v>
      </c>
      <c r="E33" s="833" t="e">
        <f>SUM(E29:E31)</f>
        <v>#REF!</v>
      </c>
      <c r="F33" s="848" t="s">
        <v>394</v>
      </c>
      <c r="G33" s="835"/>
      <c r="H33" s="830"/>
    </row>
    <row r="34" spans="1:14" s="826" customFormat="1" x14ac:dyDescent="0.25">
      <c r="A34" s="84"/>
      <c r="B34" s="836"/>
      <c r="C34" s="837"/>
      <c r="D34" s="481"/>
      <c r="E34" s="838"/>
      <c r="F34" s="838"/>
      <c r="G34" s="839"/>
      <c r="H34" s="830"/>
    </row>
    <row r="35" spans="1:14" s="826" customFormat="1" ht="15.75" x14ac:dyDescent="0.25">
      <c r="A35" s="840" t="s">
        <v>392</v>
      </c>
      <c r="B35" s="831">
        <f>+E25</f>
        <v>18261101</v>
      </c>
      <c r="C35" s="822" t="e">
        <f>SUM(E22:E24)</f>
        <v>#REF!</v>
      </c>
      <c r="D35" s="833" t="e">
        <f>+B35+C35</f>
        <v>#REF!</v>
      </c>
      <c r="E35" s="833" t="e">
        <f>+D35-E31</f>
        <v>#REF!</v>
      </c>
      <c r="F35" s="834"/>
      <c r="G35" s="841"/>
      <c r="H35" s="830"/>
    </row>
    <row r="36" spans="1:14" x14ac:dyDescent="0.25">
      <c r="G36" s="842"/>
    </row>
    <row r="37" spans="1:14" ht="15.75" x14ac:dyDescent="0.25">
      <c r="A37" s="1581" t="s">
        <v>641</v>
      </c>
      <c r="B37" s="1581"/>
      <c r="C37" s="1581"/>
      <c r="D37" s="1581"/>
      <c r="E37" s="1581"/>
      <c r="F37" s="1581"/>
      <c r="G37" s="1581"/>
      <c r="H37" s="1581"/>
    </row>
    <row r="39" spans="1:14" x14ac:dyDescent="0.25">
      <c r="C39" s="845"/>
      <c r="D39" s="845"/>
      <c r="E39" s="844"/>
    </row>
    <row r="40" spans="1:14" x14ac:dyDescent="0.25">
      <c r="C40" s="845"/>
      <c r="D40" s="846"/>
      <c r="E40" s="844"/>
    </row>
    <row r="41" spans="1:14" x14ac:dyDescent="0.25">
      <c r="C41" s="845"/>
      <c r="D41" s="846"/>
      <c r="E41" s="844"/>
    </row>
    <row r="42" spans="1:14" x14ac:dyDescent="0.25">
      <c r="C42" s="845"/>
      <c r="D42" s="846"/>
    </row>
    <row r="43" spans="1:14" s="839" customFormat="1" ht="16.5" x14ac:dyDescent="0.25">
      <c r="A43" s="84"/>
      <c r="B43" s="836"/>
      <c r="C43" s="845"/>
      <c r="D43" s="845"/>
      <c r="E43" s="838"/>
      <c r="F43" s="843"/>
      <c r="H43" s="830"/>
      <c r="I43" s="765"/>
      <c r="J43" s="765"/>
      <c r="K43" s="765"/>
      <c r="L43" s="765"/>
      <c r="M43" s="765"/>
      <c r="N43" s="765"/>
    </row>
    <row r="44" spans="1:14" x14ac:dyDescent="0.25">
      <c r="C44" s="845"/>
      <c r="D44" s="845"/>
    </row>
  </sheetData>
  <mergeCells count="3">
    <mergeCell ref="A1:H1"/>
    <mergeCell ref="A2:H2"/>
    <mergeCell ref="A37:H37"/>
  </mergeCells>
  <printOptions horizontalCentered="1"/>
  <pageMargins left="0.19685039370078741" right="0.19685039370078741" top="0.39370078740157483" bottom="0.19685039370078741" header="0.31496062992125984" footer="0.31496062992125984"/>
  <pageSetup scale="55" orientation="landscape"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topLeftCell="A4" zoomScale="80" zoomScaleNormal="80" workbookViewId="0">
      <selection activeCell="F13" sqref="F13:H15"/>
    </sheetView>
  </sheetViews>
  <sheetFormatPr baseColWidth="10" defaultRowHeight="15" x14ac:dyDescent="0.25"/>
  <cols>
    <col min="1" max="1" width="44.42578125" style="753" customWidth="1"/>
    <col min="2" max="2" width="15.7109375" style="1020" customWidth="1"/>
    <col min="3" max="3" width="14.140625" style="753" customWidth="1"/>
    <col min="4" max="5" width="14.7109375" style="753" customWidth="1"/>
    <col min="6" max="6" width="21" style="753" customWidth="1"/>
    <col min="7" max="7" width="73.7109375" style="753" customWidth="1"/>
    <col min="8" max="8" width="13.42578125" style="753" bestFit="1" customWidth="1"/>
    <col min="9" max="256" width="11.5703125" style="753"/>
    <col min="257" max="257" width="44.42578125" style="753" customWidth="1"/>
    <col min="258" max="258" width="15.7109375" style="753" customWidth="1"/>
    <col min="259" max="259" width="14.140625" style="753" customWidth="1"/>
    <col min="260" max="261" width="14.7109375" style="753" customWidth="1"/>
    <col min="262" max="262" width="21" style="753" customWidth="1"/>
    <col min="263" max="263" width="96.28515625" style="753" customWidth="1"/>
    <col min="264" max="512" width="11.5703125" style="753"/>
    <col min="513" max="513" width="44.42578125" style="753" customWidth="1"/>
    <col min="514" max="514" width="15.7109375" style="753" customWidth="1"/>
    <col min="515" max="515" width="14.140625" style="753" customWidth="1"/>
    <col min="516" max="517" width="14.7109375" style="753" customWidth="1"/>
    <col min="518" max="518" width="21" style="753" customWidth="1"/>
    <col min="519" max="519" width="96.28515625" style="753" customWidth="1"/>
    <col min="520" max="768" width="11.5703125" style="753"/>
    <col min="769" max="769" width="44.42578125" style="753" customWidth="1"/>
    <col min="770" max="770" width="15.7109375" style="753" customWidth="1"/>
    <col min="771" max="771" width="14.140625" style="753" customWidth="1"/>
    <col min="772" max="773" width="14.7109375" style="753" customWidth="1"/>
    <col min="774" max="774" width="21" style="753" customWidth="1"/>
    <col min="775" max="775" width="96.28515625" style="753" customWidth="1"/>
    <col min="776" max="1024" width="11.5703125" style="753"/>
    <col min="1025" max="1025" width="44.42578125" style="753" customWidth="1"/>
    <col min="1026" max="1026" width="15.7109375" style="753" customWidth="1"/>
    <col min="1027" max="1027" width="14.140625" style="753" customWidth="1"/>
    <col min="1028" max="1029" width="14.7109375" style="753" customWidth="1"/>
    <col min="1030" max="1030" width="21" style="753" customWidth="1"/>
    <col min="1031" max="1031" width="96.28515625" style="753" customWidth="1"/>
    <col min="1032" max="1280" width="11.5703125" style="753"/>
    <col min="1281" max="1281" width="44.42578125" style="753" customWidth="1"/>
    <col min="1282" max="1282" width="15.7109375" style="753" customWidth="1"/>
    <col min="1283" max="1283" width="14.140625" style="753" customWidth="1"/>
    <col min="1284" max="1285" width="14.7109375" style="753" customWidth="1"/>
    <col min="1286" max="1286" width="21" style="753" customWidth="1"/>
    <col min="1287" max="1287" width="96.28515625" style="753" customWidth="1"/>
    <col min="1288" max="1536" width="11.5703125" style="753"/>
    <col min="1537" max="1537" width="44.42578125" style="753" customWidth="1"/>
    <col min="1538" max="1538" width="15.7109375" style="753" customWidth="1"/>
    <col min="1539" max="1539" width="14.140625" style="753" customWidth="1"/>
    <col min="1540" max="1541" width="14.7109375" style="753" customWidth="1"/>
    <col min="1542" max="1542" width="21" style="753" customWidth="1"/>
    <col min="1543" max="1543" width="96.28515625" style="753" customWidth="1"/>
    <col min="1544" max="1792" width="11.5703125" style="753"/>
    <col min="1793" max="1793" width="44.42578125" style="753" customWidth="1"/>
    <col min="1794" max="1794" width="15.7109375" style="753" customWidth="1"/>
    <col min="1795" max="1795" width="14.140625" style="753" customWidth="1"/>
    <col min="1796" max="1797" width="14.7109375" style="753" customWidth="1"/>
    <col min="1798" max="1798" width="21" style="753" customWidth="1"/>
    <col min="1799" max="1799" width="96.28515625" style="753" customWidth="1"/>
    <col min="1800" max="2048" width="11.5703125" style="753"/>
    <col min="2049" max="2049" width="44.42578125" style="753" customWidth="1"/>
    <col min="2050" max="2050" width="15.7109375" style="753" customWidth="1"/>
    <col min="2051" max="2051" width="14.140625" style="753" customWidth="1"/>
    <col min="2052" max="2053" width="14.7109375" style="753" customWidth="1"/>
    <col min="2054" max="2054" width="21" style="753" customWidth="1"/>
    <col min="2055" max="2055" width="96.28515625" style="753" customWidth="1"/>
    <col min="2056" max="2304" width="11.5703125" style="753"/>
    <col min="2305" max="2305" width="44.42578125" style="753" customWidth="1"/>
    <col min="2306" max="2306" width="15.7109375" style="753" customWidth="1"/>
    <col min="2307" max="2307" width="14.140625" style="753" customWidth="1"/>
    <col min="2308" max="2309" width="14.7109375" style="753" customWidth="1"/>
    <col min="2310" max="2310" width="21" style="753" customWidth="1"/>
    <col min="2311" max="2311" width="96.28515625" style="753" customWidth="1"/>
    <col min="2312" max="2560" width="11.5703125" style="753"/>
    <col min="2561" max="2561" width="44.42578125" style="753" customWidth="1"/>
    <col min="2562" max="2562" width="15.7109375" style="753" customWidth="1"/>
    <col min="2563" max="2563" width="14.140625" style="753" customWidth="1"/>
    <col min="2564" max="2565" width="14.7109375" style="753" customWidth="1"/>
    <col min="2566" max="2566" width="21" style="753" customWidth="1"/>
    <col min="2567" max="2567" width="96.28515625" style="753" customWidth="1"/>
    <col min="2568" max="2816" width="11.5703125" style="753"/>
    <col min="2817" max="2817" width="44.42578125" style="753" customWidth="1"/>
    <col min="2818" max="2818" width="15.7109375" style="753" customWidth="1"/>
    <col min="2819" max="2819" width="14.140625" style="753" customWidth="1"/>
    <col min="2820" max="2821" width="14.7109375" style="753" customWidth="1"/>
    <col min="2822" max="2822" width="21" style="753" customWidth="1"/>
    <col min="2823" max="2823" width="96.28515625" style="753" customWidth="1"/>
    <col min="2824" max="3072" width="11.5703125" style="753"/>
    <col min="3073" max="3073" width="44.42578125" style="753" customWidth="1"/>
    <col min="3074" max="3074" width="15.7109375" style="753" customWidth="1"/>
    <col min="3075" max="3075" width="14.140625" style="753" customWidth="1"/>
    <col min="3076" max="3077" width="14.7109375" style="753" customWidth="1"/>
    <col min="3078" max="3078" width="21" style="753" customWidth="1"/>
    <col min="3079" max="3079" width="96.28515625" style="753" customWidth="1"/>
    <col min="3080" max="3328" width="11.5703125" style="753"/>
    <col min="3329" max="3329" width="44.42578125" style="753" customWidth="1"/>
    <col min="3330" max="3330" width="15.7109375" style="753" customWidth="1"/>
    <col min="3331" max="3331" width="14.140625" style="753" customWidth="1"/>
    <col min="3332" max="3333" width="14.7109375" style="753" customWidth="1"/>
    <col min="3334" max="3334" width="21" style="753" customWidth="1"/>
    <col min="3335" max="3335" width="96.28515625" style="753" customWidth="1"/>
    <col min="3336" max="3584" width="11.5703125" style="753"/>
    <col min="3585" max="3585" width="44.42578125" style="753" customWidth="1"/>
    <col min="3586" max="3586" width="15.7109375" style="753" customWidth="1"/>
    <col min="3587" max="3587" width="14.140625" style="753" customWidth="1"/>
    <col min="3588" max="3589" width="14.7109375" style="753" customWidth="1"/>
    <col min="3590" max="3590" width="21" style="753" customWidth="1"/>
    <col min="3591" max="3591" width="96.28515625" style="753" customWidth="1"/>
    <col min="3592" max="3840" width="11.5703125" style="753"/>
    <col min="3841" max="3841" width="44.42578125" style="753" customWidth="1"/>
    <col min="3842" max="3842" width="15.7109375" style="753" customWidth="1"/>
    <col min="3843" max="3843" width="14.140625" style="753" customWidth="1"/>
    <col min="3844" max="3845" width="14.7109375" style="753" customWidth="1"/>
    <col min="3846" max="3846" width="21" style="753" customWidth="1"/>
    <col min="3847" max="3847" width="96.28515625" style="753" customWidth="1"/>
    <col min="3848" max="4096" width="11.5703125" style="753"/>
    <col min="4097" max="4097" width="44.42578125" style="753" customWidth="1"/>
    <col min="4098" max="4098" width="15.7109375" style="753" customWidth="1"/>
    <col min="4099" max="4099" width="14.140625" style="753" customWidth="1"/>
    <col min="4100" max="4101" width="14.7109375" style="753" customWidth="1"/>
    <col min="4102" max="4102" width="21" style="753" customWidth="1"/>
    <col min="4103" max="4103" width="96.28515625" style="753" customWidth="1"/>
    <col min="4104" max="4352" width="11.5703125" style="753"/>
    <col min="4353" max="4353" width="44.42578125" style="753" customWidth="1"/>
    <col min="4354" max="4354" width="15.7109375" style="753" customWidth="1"/>
    <col min="4355" max="4355" width="14.140625" style="753" customWidth="1"/>
    <col min="4356" max="4357" width="14.7109375" style="753" customWidth="1"/>
    <col min="4358" max="4358" width="21" style="753" customWidth="1"/>
    <col min="4359" max="4359" width="96.28515625" style="753" customWidth="1"/>
    <col min="4360" max="4608" width="11.5703125" style="753"/>
    <col min="4609" max="4609" width="44.42578125" style="753" customWidth="1"/>
    <col min="4610" max="4610" width="15.7109375" style="753" customWidth="1"/>
    <col min="4611" max="4611" width="14.140625" style="753" customWidth="1"/>
    <col min="4612" max="4613" width="14.7109375" style="753" customWidth="1"/>
    <col min="4614" max="4614" width="21" style="753" customWidth="1"/>
    <col min="4615" max="4615" width="96.28515625" style="753" customWidth="1"/>
    <col min="4616" max="4864" width="11.5703125" style="753"/>
    <col min="4865" max="4865" width="44.42578125" style="753" customWidth="1"/>
    <col min="4866" max="4866" width="15.7109375" style="753" customWidth="1"/>
    <col min="4867" max="4867" width="14.140625" style="753" customWidth="1"/>
    <col min="4868" max="4869" width="14.7109375" style="753" customWidth="1"/>
    <col min="4870" max="4870" width="21" style="753" customWidth="1"/>
    <col min="4871" max="4871" width="96.28515625" style="753" customWidth="1"/>
    <col min="4872" max="5120" width="11.5703125" style="753"/>
    <col min="5121" max="5121" width="44.42578125" style="753" customWidth="1"/>
    <col min="5122" max="5122" width="15.7109375" style="753" customWidth="1"/>
    <col min="5123" max="5123" width="14.140625" style="753" customWidth="1"/>
    <col min="5124" max="5125" width="14.7109375" style="753" customWidth="1"/>
    <col min="5126" max="5126" width="21" style="753" customWidth="1"/>
    <col min="5127" max="5127" width="96.28515625" style="753" customWidth="1"/>
    <col min="5128" max="5376" width="11.5703125" style="753"/>
    <col min="5377" max="5377" width="44.42578125" style="753" customWidth="1"/>
    <col min="5378" max="5378" width="15.7109375" style="753" customWidth="1"/>
    <col min="5379" max="5379" width="14.140625" style="753" customWidth="1"/>
    <col min="5380" max="5381" width="14.7109375" style="753" customWidth="1"/>
    <col min="5382" max="5382" width="21" style="753" customWidth="1"/>
    <col min="5383" max="5383" width="96.28515625" style="753" customWidth="1"/>
    <col min="5384" max="5632" width="11.5703125" style="753"/>
    <col min="5633" max="5633" width="44.42578125" style="753" customWidth="1"/>
    <col min="5634" max="5634" width="15.7109375" style="753" customWidth="1"/>
    <col min="5635" max="5635" width="14.140625" style="753" customWidth="1"/>
    <col min="5636" max="5637" width="14.7109375" style="753" customWidth="1"/>
    <col min="5638" max="5638" width="21" style="753" customWidth="1"/>
    <col min="5639" max="5639" width="96.28515625" style="753" customWidth="1"/>
    <col min="5640" max="5888" width="11.5703125" style="753"/>
    <col min="5889" max="5889" width="44.42578125" style="753" customWidth="1"/>
    <col min="5890" max="5890" width="15.7109375" style="753" customWidth="1"/>
    <col min="5891" max="5891" width="14.140625" style="753" customWidth="1"/>
    <col min="5892" max="5893" width="14.7109375" style="753" customWidth="1"/>
    <col min="5894" max="5894" width="21" style="753" customWidth="1"/>
    <col min="5895" max="5895" width="96.28515625" style="753" customWidth="1"/>
    <col min="5896" max="6144" width="11.5703125" style="753"/>
    <col min="6145" max="6145" width="44.42578125" style="753" customWidth="1"/>
    <col min="6146" max="6146" width="15.7109375" style="753" customWidth="1"/>
    <col min="6147" max="6147" width="14.140625" style="753" customWidth="1"/>
    <col min="6148" max="6149" width="14.7109375" style="753" customWidth="1"/>
    <col min="6150" max="6150" width="21" style="753" customWidth="1"/>
    <col min="6151" max="6151" width="96.28515625" style="753" customWidth="1"/>
    <col min="6152" max="6400" width="11.5703125" style="753"/>
    <col min="6401" max="6401" width="44.42578125" style="753" customWidth="1"/>
    <col min="6402" max="6402" width="15.7109375" style="753" customWidth="1"/>
    <col min="6403" max="6403" width="14.140625" style="753" customWidth="1"/>
    <col min="6404" max="6405" width="14.7109375" style="753" customWidth="1"/>
    <col min="6406" max="6406" width="21" style="753" customWidth="1"/>
    <col min="6407" max="6407" width="96.28515625" style="753" customWidth="1"/>
    <col min="6408" max="6656" width="11.5703125" style="753"/>
    <col min="6657" max="6657" width="44.42578125" style="753" customWidth="1"/>
    <col min="6658" max="6658" width="15.7109375" style="753" customWidth="1"/>
    <col min="6659" max="6659" width="14.140625" style="753" customWidth="1"/>
    <col min="6660" max="6661" width="14.7109375" style="753" customWidth="1"/>
    <col min="6662" max="6662" width="21" style="753" customWidth="1"/>
    <col min="6663" max="6663" width="96.28515625" style="753" customWidth="1"/>
    <col min="6664" max="6912" width="11.5703125" style="753"/>
    <col min="6913" max="6913" width="44.42578125" style="753" customWidth="1"/>
    <col min="6914" max="6914" width="15.7109375" style="753" customWidth="1"/>
    <col min="6915" max="6915" width="14.140625" style="753" customWidth="1"/>
    <col min="6916" max="6917" width="14.7109375" style="753" customWidth="1"/>
    <col min="6918" max="6918" width="21" style="753" customWidth="1"/>
    <col min="6919" max="6919" width="96.28515625" style="753" customWidth="1"/>
    <col min="6920" max="7168" width="11.5703125" style="753"/>
    <col min="7169" max="7169" width="44.42578125" style="753" customWidth="1"/>
    <col min="7170" max="7170" width="15.7109375" style="753" customWidth="1"/>
    <col min="7171" max="7171" width="14.140625" style="753" customWidth="1"/>
    <col min="7172" max="7173" width="14.7109375" style="753" customWidth="1"/>
    <col min="7174" max="7174" width="21" style="753" customWidth="1"/>
    <col min="7175" max="7175" width="96.28515625" style="753" customWidth="1"/>
    <col min="7176" max="7424" width="11.5703125" style="753"/>
    <col min="7425" max="7425" width="44.42578125" style="753" customWidth="1"/>
    <col min="7426" max="7426" width="15.7109375" style="753" customWidth="1"/>
    <col min="7427" max="7427" width="14.140625" style="753" customWidth="1"/>
    <col min="7428" max="7429" width="14.7109375" style="753" customWidth="1"/>
    <col min="7430" max="7430" width="21" style="753" customWidth="1"/>
    <col min="7431" max="7431" width="96.28515625" style="753" customWidth="1"/>
    <col min="7432" max="7680" width="11.5703125" style="753"/>
    <col min="7681" max="7681" width="44.42578125" style="753" customWidth="1"/>
    <col min="7682" max="7682" width="15.7109375" style="753" customWidth="1"/>
    <col min="7683" max="7683" width="14.140625" style="753" customWidth="1"/>
    <col min="7684" max="7685" width="14.7109375" style="753" customWidth="1"/>
    <col min="7686" max="7686" width="21" style="753" customWidth="1"/>
    <col min="7687" max="7687" width="96.28515625" style="753" customWidth="1"/>
    <col min="7688" max="7936" width="11.5703125" style="753"/>
    <col min="7937" max="7937" width="44.42578125" style="753" customWidth="1"/>
    <col min="7938" max="7938" width="15.7109375" style="753" customWidth="1"/>
    <col min="7939" max="7939" width="14.140625" style="753" customWidth="1"/>
    <col min="7940" max="7941" width="14.7109375" style="753" customWidth="1"/>
    <col min="7942" max="7942" width="21" style="753" customWidth="1"/>
    <col min="7943" max="7943" width="96.28515625" style="753" customWidth="1"/>
    <col min="7944" max="8192" width="11.5703125" style="753"/>
    <col min="8193" max="8193" width="44.42578125" style="753" customWidth="1"/>
    <col min="8194" max="8194" width="15.7109375" style="753" customWidth="1"/>
    <col min="8195" max="8195" width="14.140625" style="753" customWidth="1"/>
    <col min="8196" max="8197" width="14.7109375" style="753" customWidth="1"/>
    <col min="8198" max="8198" width="21" style="753" customWidth="1"/>
    <col min="8199" max="8199" width="96.28515625" style="753" customWidth="1"/>
    <col min="8200" max="8448" width="11.5703125" style="753"/>
    <col min="8449" max="8449" width="44.42578125" style="753" customWidth="1"/>
    <col min="8450" max="8450" width="15.7109375" style="753" customWidth="1"/>
    <col min="8451" max="8451" width="14.140625" style="753" customWidth="1"/>
    <col min="8452" max="8453" width="14.7109375" style="753" customWidth="1"/>
    <col min="8454" max="8454" width="21" style="753" customWidth="1"/>
    <col min="8455" max="8455" width="96.28515625" style="753" customWidth="1"/>
    <col min="8456" max="8704" width="11.5703125" style="753"/>
    <col min="8705" max="8705" width="44.42578125" style="753" customWidth="1"/>
    <col min="8706" max="8706" width="15.7109375" style="753" customWidth="1"/>
    <col min="8707" max="8707" width="14.140625" style="753" customWidth="1"/>
    <col min="8708" max="8709" width="14.7109375" style="753" customWidth="1"/>
    <col min="8710" max="8710" width="21" style="753" customWidth="1"/>
    <col min="8711" max="8711" width="96.28515625" style="753" customWidth="1"/>
    <col min="8712" max="8960" width="11.5703125" style="753"/>
    <col min="8961" max="8961" width="44.42578125" style="753" customWidth="1"/>
    <col min="8962" max="8962" width="15.7109375" style="753" customWidth="1"/>
    <col min="8963" max="8963" width="14.140625" style="753" customWidth="1"/>
    <col min="8964" max="8965" width="14.7109375" style="753" customWidth="1"/>
    <col min="8966" max="8966" width="21" style="753" customWidth="1"/>
    <col min="8967" max="8967" width="96.28515625" style="753" customWidth="1"/>
    <col min="8968" max="9216" width="11.5703125" style="753"/>
    <col min="9217" max="9217" width="44.42578125" style="753" customWidth="1"/>
    <col min="9218" max="9218" width="15.7109375" style="753" customWidth="1"/>
    <col min="9219" max="9219" width="14.140625" style="753" customWidth="1"/>
    <col min="9220" max="9221" width="14.7109375" style="753" customWidth="1"/>
    <col min="9222" max="9222" width="21" style="753" customWidth="1"/>
    <col min="9223" max="9223" width="96.28515625" style="753" customWidth="1"/>
    <col min="9224" max="9472" width="11.5703125" style="753"/>
    <col min="9473" max="9473" width="44.42578125" style="753" customWidth="1"/>
    <col min="9474" max="9474" width="15.7109375" style="753" customWidth="1"/>
    <col min="9475" max="9475" width="14.140625" style="753" customWidth="1"/>
    <col min="9476" max="9477" width="14.7109375" style="753" customWidth="1"/>
    <col min="9478" max="9478" width="21" style="753" customWidth="1"/>
    <col min="9479" max="9479" width="96.28515625" style="753" customWidth="1"/>
    <col min="9480" max="9728" width="11.5703125" style="753"/>
    <col min="9729" max="9729" width="44.42578125" style="753" customWidth="1"/>
    <col min="9730" max="9730" width="15.7109375" style="753" customWidth="1"/>
    <col min="9731" max="9731" width="14.140625" style="753" customWidth="1"/>
    <col min="9732" max="9733" width="14.7109375" style="753" customWidth="1"/>
    <col min="9734" max="9734" width="21" style="753" customWidth="1"/>
    <col min="9735" max="9735" width="96.28515625" style="753" customWidth="1"/>
    <col min="9736" max="9984" width="11.5703125" style="753"/>
    <col min="9985" max="9985" width="44.42578125" style="753" customWidth="1"/>
    <col min="9986" max="9986" width="15.7109375" style="753" customWidth="1"/>
    <col min="9987" max="9987" width="14.140625" style="753" customWidth="1"/>
    <col min="9988" max="9989" width="14.7109375" style="753" customWidth="1"/>
    <col min="9990" max="9990" width="21" style="753" customWidth="1"/>
    <col min="9991" max="9991" width="96.28515625" style="753" customWidth="1"/>
    <col min="9992" max="10240" width="11.5703125" style="753"/>
    <col min="10241" max="10241" width="44.42578125" style="753" customWidth="1"/>
    <col min="10242" max="10242" width="15.7109375" style="753" customWidth="1"/>
    <col min="10243" max="10243" width="14.140625" style="753" customWidth="1"/>
    <col min="10244" max="10245" width="14.7109375" style="753" customWidth="1"/>
    <col min="10246" max="10246" width="21" style="753" customWidth="1"/>
    <col min="10247" max="10247" width="96.28515625" style="753" customWidth="1"/>
    <col min="10248" max="10496" width="11.5703125" style="753"/>
    <col min="10497" max="10497" width="44.42578125" style="753" customWidth="1"/>
    <col min="10498" max="10498" width="15.7109375" style="753" customWidth="1"/>
    <col min="10499" max="10499" width="14.140625" style="753" customWidth="1"/>
    <col min="10500" max="10501" width="14.7109375" style="753" customWidth="1"/>
    <col min="10502" max="10502" width="21" style="753" customWidth="1"/>
    <col min="10503" max="10503" width="96.28515625" style="753" customWidth="1"/>
    <col min="10504" max="10752" width="11.5703125" style="753"/>
    <col min="10753" max="10753" width="44.42578125" style="753" customWidth="1"/>
    <col min="10754" max="10754" width="15.7109375" style="753" customWidth="1"/>
    <col min="10755" max="10755" width="14.140625" style="753" customWidth="1"/>
    <col min="10756" max="10757" width="14.7109375" style="753" customWidth="1"/>
    <col min="10758" max="10758" width="21" style="753" customWidth="1"/>
    <col min="10759" max="10759" width="96.28515625" style="753" customWidth="1"/>
    <col min="10760" max="11008" width="11.5703125" style="753"/>
    <col min="11009" max="11009" width="44.42578125" style="753" customWidth="1"/>
    <col min="11010" max="11010" width="15.7109375" style="753" customWidth="1"/>
    <col min="11011" max="11011" width="14.140625" style="753" customWidth="1"/>
    <col min="11012" max="11013" width="14.7109375" style="753" customWidth="1"/>
    <col min="11014" max="11014" width="21" style="753" customWidth="1"/>
    <col min="11015" max="11015" width="96.28515625" style="753" customWidth="1"/>
    <col min="11016" max="11264" width="11.5703125" style="753"/>
    <col min="11265" max="11265" width="44.42578125" style="753" customWidth="1"/>
    <col min="11266" max="11266" width="15.7109375" style="753" customWidth="1"/>
    <col min="11267" max="11267" width="14.140625" style="753" customWidth="1"/>
    <col min="11268" max="11269" width="14.7109375" style="753" customWidth="1"/>
    <col min="11270" max="11270" width="21" style="753" customWidth="1"/>
    <col min="11271" max="11271" width="96.28515625" style="753" customWidth="1"/>
    <col min="11272" max="11520" width="11.5703125" style="753"/>
    <col min="11521" max="11521" width="44.42578125" style="753" customWidth="1"/>
    <col min="11522" max="11522" width="15.7109375" style="753" customWidth="1"/>
    <col min="11523" max="11523" width="14.140625" style="753" customWidth="1"/>
    <col min="11524" max="11525" width="14.7109375" style="753" customWidth="1"/>
    <col min="11526" max="11526" width="21" style="753" customWidth="1"/>
    <col min="11527" max="11527" width="96.28515625" style="753" customWidth="1"/>
    <col min="11528" max="11776" width="11.5703125" style="753"/>
    <col min="11777" max="11777" width="44.42578125" style="753" customWidth="1"/>
    <col min="11778" max="11778" width="15.7109375" style="753" customWidth="1"/>
    <col min="11779" max="11779" width="14.140625" style="753" customWidth="1"/>
    <col min="11780" max="11781" width="14.7109375" style="753" customWidth="1"/>
    <col min="11782" max="11782" width="21" style="753" customWidth="1"/>
    <col min="11783" max="11783" width="96.28515625" style="753" customWidth="1"/>
    <col min="11784" max="12032" width="11.5703125" style="753"/>
    <col min="12033" max="12033" width="44.42578125" style="753" customWidth="1"/>
    <col min="12034" max="12034" width="15.7109375" style="753" customWidth="1"/>
    <col min="12035" max="12035" width="14.140625" style="753" customWidth="1"/>
    <col min="12036" max="12037" width="14.7109375" style="753" customWidth="1"/>
    <col min="12038" max="12038" width="21" style="753" customWidth="1"/>
    <col min="12039" max="12039" width="96.28515625" style="753" customWidth="1"/>
    <col min="12040" max="12288" width="11.5703125" style="753"/>
    <col min="12289" max="12289" width="44.42578125" style="753" customWidth="1"/>
    <col min="12290" max="12290" width="15.7109375" style="753" customWidth="1"/>
    <col min="12291" max="12291" width="14.140625" style="753" customWidth="1"/>
    <col min="12292" max="12293" width="14.7109375" style="753" customWidth="1"/>
    <col min="12294" max="12294" width="21" style="753" customWidth="1"/>
    <col min="12295" max="12295" width="96.28515625" style="753" customWidth="1"/>
    <col min="12296" max="12544" width="11.5703125" style="753"/>
    <col min="12545" max="12545" width="44.42578125" style="753" customWidth="1"/>
    <col min="12546" max="12546" width="15.7109375" style="753" customWidth="1"/>
    <col min="12547" max="12547" width="14.140625" style="753" customWidth="1"/>
    <col min="12548" max="12549" width="14.7109375" style="753" customWidth="1"/>
    <col min="12550" max="12550" width="21" style="753" customWidth="1"/>
    <col min="12551" max="12551" width="96.28515625" style="753" customWidth="1"/>
    <col min="12552" max="12800" width="11.5703125" style="753"/>
    <col min="12801" max="12801" width="44.42578125" style="753" customWidth="1"/>
    <col min="12802" max="12802" width="15.7109375" style="753" customWidth="1"/>
    <col min="12803" max="12803" width="14.140625" style="753" customWidth="1"/>
    <col min="12804" max="12805" width="14.7109375" style="753" customWidth="1"/>
    <col min="12806" max="12806" width="21" style="753" customWidth="1"/>
    <col min="12807" max="12807" width="96.28515625" style="753" customWidth="1"/>
    <col min="12808" max="13056" width="11.5703125" style="753"/>
    <col min="13057" max="13057" width="44.42578125" style="753" customWidth="1"/>
    <col min="13058" max="13058" width="15.7109375" style="753" customWidth="1"/>
    <col min="13059" max="13059" width="14.140625" style="753" customWidth="1"/>
    <col min="13060" max="13061" width="14.7109375" style="753" customWidth="1"/>
    <col min="13062" max="13062" width="21" style="753" customWidth="1"/>
    <col min="13063" max="13063" width="96.28515625" style="753" customWidth="1"/>
    <col min="13064" max="13312" width="11.5703125" style="753"/>
    <col min="13313" max="13313" width="44.42578125" style="753" customWidth="1"/>
    <col min="13314" max="13314" width="15.7109375" style="753" customWidth="1"/>
    <col min="13315" max="13315" width="14.140625" style="753" customWidth="1"/>
    <col min="13316" max="13317" width="14.7109375" style="753" customWidth="1"/>
    <col min="13318" max="13318" width="21" style="753" customWidth="1"/>
    <col min="13319" max="13319" width="96.28515625" style="753" customWidth="1"/>
    <col min="13320" max="13568" width="11.5703125" style="753"/>
    <col min="13569" max="13569" width="44.42578125" style="753" customWidth="1"/>
    <col min="13570" max="13570" width="15.7109375" style="753" customWidth="1"/>
    <col min="13571" max="13571" width="14.140625" style="753" customWidth="1"/>
    <col min="13572" max="13573" width="14.7109375" style="753" customWidth="1"/>
    <col min="13574" max="13574" width="21" style="753" customWidth="1"/>
    <col min="13575" max="13575" width="96.28515625" style="753" customWidth="1"/>
    <col min="13576" max="13824" width="11.5703125" style="753"/>
    <col min="13825" max="13825" width="44.42578125" style="753" customWidth="1"/>
    <col min="13826" max="13826" width="15.7109375" style="753" customWidth="1"/>
    <col min="13827" max="13827" width="14.140625" style="753" customWidth="1"/>
    <col min="13828" max="13829" width="14.7109375" style="753" customWidth="1"/>
    <col min="13830" max="13830" width="21" style="753" customWidth="1"/>
    <col min="13831" max="13831" width="96.28515625" style="753" customWidth="1"/>
    <col min="13832" max="14080" width="11.5703125" style="753"/>
    <col min="14081" max="14081" width="44.42578125" style="753" customWidth="1"/>
    <col min="14082" max="14082" width="15.7109375" style="753" customWidth="1"/>
    <col min="14083" max="14083" width="14.140625" style="753" customWidth="1"/>
    <col min="14084" max="14085" width="14.7109375" style="753" customWidth="1"/>
    <col min="14086" max="14086" width="21" style="753" customWidth="1"/>
    <col min="14087" max="14087" width="96.28515625" style="753" customWidth="1"/>
    <col min="14088" max="14336" width="11.5703125" style="753"/>
    <col min="14337" max="14337" width="44.42578125" style="753" customWidth="1"/>
    <col min="14338" max="14338" width="15.7109375" style="753" customWidth="1"/>
    <col min="14339" max="14339" width="14.140625" style="753" customWidth="1"/>
    <col min="14340" max="14341" width="14.7109375" style="753" customWidth="1"/>
    <col min="14342" max="14342" width="21" style="753" customWidth="1"/>
    <col min="14343" max="14343" width="96.28515625" style="753" customWidth="1"/>
    <col min="14344" max="14592" width="11.5703125" style="753"/>
    <col min="14593" max="14593" width="44.42578125" style="753" customWidth="1"/>
    <col min="14594" max="14594" width="15.7109375" style="753" customWidth="1"/>
    <col min="14595" max="14595" width="14.140625" style="753" customWidth="1"/>
    <col min="14596" max="14597" width="14.7109375" style="753" customWidth="1"/>
    <col min="14598" max="14598" width="21" style="753" customWidth="1"/>
    <col min="14599" max="14599" width="96.28515625" style="753" customWidth="1"/>
    <col min="14600" max="14848" width="11.5703125" style="753"/>
    <col min="14849" max="14849" width="44.42578125" style="753" customWidth="1"/>
    <col min="14850" max="14850" width="15.7109375" style="753" customWidth="1"/>
    <col min="14851" max="14851" width="14.140625" style="753" customWidth="1"/>
    <col min="14852" max="14853" width="14.7109375" style="753" customWidth="1"/>
    <col min="14854" max="14854" width="21" style="753" customWidth="1"/>
    <col min="14855" max="14855" width="96.28515625" style="753" customWidth="1"/>
    <col min="14856" max="15104" width="11.5703125" style="753"/>
    <col min="15105" max="15105" width="44.42578125" style="753" customWidth="1"/>
    <col min="15106" max="15106" width="15.7109375" style="753" customWidth="1"/>
    <col min="15107" max="15107" width="14.140625" style="753" customWidth="1"/>
    <col min="15108" max="15109" width="14.7109375" style="753" customWidth="1"/>
    <col min="15110" max="15110" width="21" style="753" customWidth="1"/>
    <col min="15111" max="15111" width="96.28515625" style="753" customWidth="1"/>
    <col min="15112" max="15360" width="11.5703125" style="753"/>
    <col min="15361" max="15361" width="44.42578125" style="753" customWidth="1"/>
    <col min="15362" max="15362" width="15.7109375" style="753" customWidth="1"/>
    <col min="15363" max="15363" width="14.140625" style="753" customWidth="1"/>
    <col min="15364" max="15365" width="14.7109375" style="753" customWidth="1"/>
    <col min="15366" max="15366" width="21" style="753" customWidth="1"/>
    <col min="15367" max="15367" width="96.28515625" style="753" customWidth="1"/>
    <col min="15368" max="15616" width="11.5703125" style="753"/>
    <col min="15617" max="15617" width="44.42578125" style="753" customWidth="1"/>
    <col min="15618" max="15618" width="15.7109375" style="753" customWidth="1"/>
    <col min="15619" max="15619" width="14.140625" style="753" customWidth="1"/>
    <col min="15620" max="15621" width="14.7109375" style="753" customWidth="1"/>
    <col min="15622" max="15622" width="21" style="753" customWidth="1"/>
    <col min="15623" max="15623" width="96.28515625" style="753" customWidth="1"/>
    <col min="15624" max="15872" width="11.5703125" style="753"/>
    <col min="15873" max="15873" width="44.42578125" style="753" customWidth="1"/>
    <col min="15874" max="15874" width="15.7109375" style="753" customWidth="1"/>
    <col min="15875" max="15875" width="14.140625" style="753" customWidth="1"/>
    <col min="15876" max="15877" width="14.7109375" style="753" customWidth="1"/>
    <col min="15878" max="15878" width="21" style="753" customWidth="1"/>
    <col min="15879" max="15879" width="96.28515625" style="753" customWidth="1"/>
    <col min="15880" max="16128" width="11.5703125" style="753"/>
    <col min="16129" max="16129" width="44.42578125" style="753" customWidth="1"/>
    <col min="16130" max="16130" width="15.7109375" style="753" customWidth="1"/>
    <col min="16131" max="16131" width="14.140625" style="753" customWidth="1"/>
    <col min="16132" max="16133" width="14.7109375" style="753" customWidth="1"/>
    <col min="16134" max="16134" width="21" style="753" customWidth="1"/>
    <col min="16135" max="16135" width="96.28515625" style="753" customWidth="1"/>
    <col min="16136" max="16384" width="11.5703125" style="753"/>
  </cols>
  <sheetData>
    <row r="1" spans="1:16" ht="21" customHeight="1" x14ac:dyDescent="0.25">
      <c r="A1" s="1576" t="s">
        <v>55</v>
      </c>
      <c r="B1" s="1576"/>
      <c r="C1" s="1576"/>
      <c r="D1" s="1576"/>
      <c r="E1" s="1576"/>
      <c r="F1" s="1576"/>
      <c r="G1" s="1576"/>
      <c r="H1" s="748"/>
      <c r="I1" s="748"/>
      <c r="J1" s="748"/>
      <c r="K1" s="748"/>
      <c r="L1" s="748"/>
      <c r="M1" s="748"/>
      <c r="N1" s="748"/>
      <c r="O1" s="748"/>
      <c r="P1" s="748"/>
    </row>
    <row r="2" spans="1:16" ht="21" customHeight="1" x14ac:dyDescent="0.25">
      <c r="A2" s="1576" t="s">
        <v>372</v>
      </c>
      <c r="B2" s="1576"/>
      <c r="C2" s="1576"/>
      <c r="D2" s="1576"/>
      <c r="E2" s="1576"/>
      <c r="F2" s="1576"/>
      <c r="G2" s="1576"/>
      <c r="H2" s="748"/>
      <c r="I2" s="748"/>
      <c r="J2" s="748"/>
      <c r="K2" s="748"/>
      <c r="L2" s="748"/>
      <c r="M2" s="748"/>
      <c r="N2" s="748"/>
      <c r="O2" s="748"/>
      <c r="P2" s="748"/>
    </row>
    <row r="3" spans="1:16" ht="15.75" thickBot="1" x14ac:dyDescent="0.3">
      <c r="A3" s="670"/>
      <c r="B3" s="481"/>
      <c r="C3" s="754"/>
      <c r="D3" s="755"/>
      <c r="E3" s="755"/>
      <c r="F3" s="756"/>
      <c r="G3" s="84"/>
      <c r="H3" s="84"/>
      <c r="I3" s="84"/>
      <c r="J3" s="757"/>
      <c r="K3" s="84"/>
      <c r="L3" s="84"/>
      <c r="M3" s="670"/>
      <c r="N3" s="183"/>
      <c r="O3" s="84"/>
      <c r="P3" s="84"/>
    </row>
    <row r="4" spans="1:16" ht="32.25" thickBot="1" x14ac:dyDescent="0.3">
      <c r="A4" s="910" t="s">
        <v>212</v>
      </c>
      <c r="B4" s="913" t="s">
        <v>357</v>
      </c>
      <c r="C4" s="913" t="s">
        <v>133</v>
      </c>
      <c r="D4" s="913" t="s">
        <v>358</v>
      </c>
      <c r="E4" s="855" t="s">
        <v>188</v>
      </c>
      <c r="F4" s="996" t="s">
        <v>359</v>
      </c>
      <c r="G4" s="989" t="s">
        <v>223</v>
      </c>
      <c r="H4" s="1582"/>
      <c r="I4" s="1582"/>
      <c r="J4" s="1582"/>
      <c r="K4" s="1582"/>
      <c r="L4" s="1582"/>
      <c r="M4" s="1582"/>
      <c r="N4" s="1582"/>
      <c r="O4" s="1582"/>
      <c r="P4" s="738"/>
    </row>
    <row r="5" spans="1:16" ht="15.75" x14ac:dyDescent="0.25">
      <c r="A5" s="856" t="s">
        <v>49</v>
      </c>
      <c r="B5" s="1013"/>
      <c r="C5" s="982"/>
      <c r="D5" s="983"/>
      <c r="E5" s="984"/>
      <c r="F5" s="997">
        <f>+F6</f>
        <v>1650000</v>
      </c>
      <c r="G5" s="990"/>
      <c r="H5" s="758"/>
      <c r="I5" s="758"/>
      <c r="J5" s="759"/>
      <c r="K5" s="758"/>
      <c r="L5" s="758"/>
      <c r="M5" s="760"/>
      <c r="N5" s="759"/>
      <c r="O5" s="758"/>
      <c r="P5" s="758"/>
    </row>
    <row r="6" spans="1:16" ht="45" x14ac:dyDescent="0.25">
      <c r="A6" s="979" t="s">
        <v>360</v>
      </c>
      <c r="B6" s="1014">
        <v>150000</v>
      </c>
      <c r="C6" s="761">
        <v>11</v>
      </c>
      <c r="D6" s="762">
        <v>11</v>
      </c>
      <c r="E6" s="985" t="s">
        <v>361</v>
      </c>
      <c r="F6" s="998">
        <f>+B6*C6</f>
        <v>1650000</v>
      </c>
      <c r="G6" s="991" t="s">
        <v>642</v>
      </c>
      <c r="H6" s="742"/>
      <c r="I6" s="742"/>
      <c r="J6" s="743"/>
      <c r="K6" s="742"/>
      <c r="L6" s="742"/>
      <c r="M6" s="742"/>
      <c r="N6" s="744"/>
      <c r="O6" s="742"/>
      <c r="P6" s="742"/>
    </row>
    <row r="7" spans="1:16" ht="15.75" x14ac:dyDescent="0.25">
      <c r="A7" s="125" t="s">
        <v>51</v>
      </c>
      <c r="B7" s="1015"/>
      <c r="C7" s="763"/>
      <c r="D7" s="764"/>
      <c r="E7" s="986"/>
      <c r="F7" s="999" t="e">
        <f>+F8+#REF!+F18</f>
        <v>#REF!</v>
      </c>
      <c r="G7" s="992"/>
      <c r="H7" s="739"/>
      <c r="I7" s="739"/>
      <c r="J7" s="740"/>
      <c r="K7" s="739"/>
      <c r="L7" s="739"/>
      <c r="M7" s="741"/>
      <c r="N7" s="740"/>
      <c r="O7" s="739"/>
      <c r="P7" s="739"/>
    </row>
    <row r="8" spans="1:16" ht="15.75" x14ac:dyDescent="0.25">
      <c r="A8" s="980" t="s">
        <v>137</v>
      </c>
      <c r="B8" s="1016"/>
      <c r="C8" s="751"/>
      <c r="D8" s="752"/>
      <c r="E8" s="987"/>
      <c r="F8" s="1000">
        <f>SUM(F9:F14)</f>
        <v>120340000</v>
      </c>
      <c r="G8" s="993"/>
      <c r="H8" s="739"/>
      <c r="I8" s="739"/>
      <c r="J8" s="740"/>
      <c r="K8" s="739"/>
      <c r="L8" s="739"/>
      <c r="M8" s="741"/>
      <c r="N8" s="740"/>
      <c r="O8" s="739"/>
      <c r="P8" s="739"/>
    </row>
    <row r="9" spans="1:16" ht="75" x14ac:dyDescent="0.25">
      <c r="A9" s="124" t="s">
        <v>362</v>
      </c>
      <c r="B9" s="1014">
        <v>55000000</v>
      </c>
      <c r="C9" s="187">
        <v>1</v>
      </c>
      <c r="D9" s="745">
        <v>1</v>
      </c>
      <c r="E9" s="120" t="s">
        <v>363</v>
      </c>
      <c r="F9" s="998">
        <f>B9*C9</f>
        <v>55000000</v>
      </c>
      <c r="G9" s="994" t="s">
        <v>643</v>
      </c>
      <c r="H9" s="746"/>
      <c r="I9" s="746"/>
      <c r="J9" s="747"/>
      <c r="K9" s="746"/>
      <c r="L9" s="746"/>
      <c r="M9" s="742"/>
      <c r="N9" s="747"/>
      <c r="O9" s="746"/>
      <c r="P9" s="746"/>
    </row>
    <row r="10" spans="1:16" ht="30" x14ac:dyDescent="0.25">
      <c r="A10" s="124" t="s">
        <v>364</v>
      </c>
      <c r="B10" s="1014">
        <v>20000000</v>
      </c>
      <c r="C10" s="187">
        <v>1</v>
      </c>
      <c r="D10" s="745">
        <v>1</v>
      </c>
      <c r="E10" s="120" t="s">
        <v>227</v>
      </c>
      <c r="F10" s="998">
        <f t="shared" ref="F10:F12" si="0">B10*C10</f>
        <v>20000000</v>
      </c>
      <c r="G10" s="994" t="s">
        <v>371</v>
      </c>
      <c r="H10" s="746"/>
      <c r="I10" s="746"/>
      <c r="J10" s="747"/>
      <c r="K10" s="746"/>
      <c r="L10" s="746"/>
      <c r="M10" s="742"/>
      <c r="N10" s="747"/>
      <c r="O10" s="746"/>
      <c r="P10" s="746"/>
    </row>
    <row r="11" spans="1:16" ht="30" x14ac:dyDescent="0.25">
      <c r="A11" s="124" t="s">
        <v>542</v>
      </c>
      <c r="B11" s="1014">
        <v>20000000</v>
      </c>
      <c r="C11" s="187">
        <v>1</v>
      </c>
      <c r="D11" s="745">
        <v>1</v>
      </c>
      <c r="E11" s="120" t="s">
        <v>227</v>
      </c>
      <c r="F11" s="998">
        <f t="shared" si="0"/>
        <v>20000000</v>
      </c>
      <c r="G11" s="994" t="s">
        <v>644</v>
      </c>
      <c r="H11" s="746"/>
      <c r="I11" s="746"/>
      <c r="J11" s="747"/>
      <c r="K11" s="746"/>
      <c r="L11" s="746"/>
      <c r="M11" s="742"/>
      <c r="N11" s="747"/>
      <c r="O11" s="746"/>
      <c r="P11" s="746"/>
    </row>
    <row r="12" spans="1:16" ht="45" x14ac:dyDescent="0.25">
      <c r="A12" s="124" t="s">
        <v>365</v>
      </c>
      <c r="B12" s="1014">
        <v>15000000</v>
      </c>
      <c r="C12" s="187">
        <v>1</v>
      </c>
      <c r="D12" s="745">
        <v>1</v>
      </c>
      <c r="E12" s="120" t="s">
        <v>227</v>
      </c>
      <c r="F12" s="998">
        <f t="shared" si="0"/>
        <v>15000000</v>
      </c>
      <c r="G12" s="994" t="s">
        <v>645</v>
      </c>
      <c r="H12" s="746"/>
      <c r="I12" s="746"/>
      <c r="J12" s="747"/>
      <c r="K12" s="746"/>
      <c r="L12" s="746"/>
      <c r="M12" s="742"/>
      <c r="N12" s="747"/>
      <c r="O12" s="746"/>
      <c r="P12" s="746"/>
    </row>
    <row r="13" spans="1:16" ht="30" x14ac:dyDescent="0.25">
      <c r="A13" s="124" t="s">
        <v>366</v>
      </c>
      <c r="B13" s="1014">
        <v>70000</v>
      </c>
      <c r="C13" s="187">
        <v>1</v>
      </c>
      <c r="D13" s="188">
        <v>11</v>
      </c>
      <c r="E13" s="120" t="s">
        <v>196</v>
      </c>
      <c r="F13" s="998">
        <f>+B13*C13*D13</f>
        <v>770000</v>
      </c>
      <c r="G13" s="994" t="s">
        <v>646</v>
      </c>
      <c r="H13" s="746"/>
      <c r="I13" s="746"/>
      <c r="J13" s="747"/>
      <c r="K13" s="746"/>
      <c r="L13" s="746"/>
      <c r="M13" s="742"/>
      <c r="N13" s="747"/>
      <c r="O13" s="746"/>
      <c r="P13" s="746"/>
    </row>
    <row r="14" spans="1:16" ht="45" x14ac:dyDescent="0.25">
      <c r="A14" s="124" t="s">
        <v>367</v>
      </c>
      <c r="B14" s="1014">
        <v>2900</v>
      </c>
      <c r="C14" s="187">
        <v>300</v>
      </c>
      <c r="D14" s="745">
        <v>11</v>
      </c>
      <c r="E14" s="120" t="s">
        <v>196</v>
      </c>
      <c r="F14" s="998">
        <f>+B14*C14*D14</f>
        <v>9570000</v>
      </c>
      <c r="G14" s="994" t="s">
        <v>647</v>
      </c>
      <c r="H14" s="746"/>
      <c r="I14" s="746"/>
      <c r="J14" s="747"/>
      <c r="K14" s="746"/>
      <c r="L14" s="746"/>
      <c r="M14" s="742"/>
      <c r="N14" s="747"/>
      <c r="O14" s="746"/>
      <c r="P14" s="746"/>
    </row>
    <row r="15" spans="1:16" ht="30" x14ac:dyDescent="0.25">
      <c r="A15" s="124" t="s">
        <v>648</v>
      </c>
      <c r="B15" s="1014">
        <v>1800</v>
      </c>
      <c r="C15" s="187">
        <v>10000</v>
      </c>
      <c r="D15" s="188">
        <v>1</v>
      </c>
      <c r="E15" s="120" t="s">
        <v>506</v>
      </c>
      <c r="F15" s="998">
        <f>+B15*C15</f>
        <v>18000000</v>
      </c>
      <c r="G15" s="994" t="s">
        <v>505</v>
      </c>
      <c r="H15" s="739"/>
      <c r="I15" s="739"/>
      <c r="J15" s="740"/>
      <c r="K15" s="739"/>
      <c r="L15" s="739"/>
      <c r="M15" s="741"/>
      <c r="N15" s="740"/>
      <c r="O15" s="739"/>
      <c r="P15" s="739"/>
    </row>
    <row r="16" spans="1:16" ht="15.75" x14ac:dyDescent="0.25">
      <c r="A16" s="981" t="s">
        <v>370</v>
      </c>
      <c r="B16" s="1017"/>
      <c r="C16" s="749"/>
      <c r="D16" s="750"/>
      <c r="E16" s="988"/>
      <c r="F16" s="1001">
        <f>SUM(F17:F17)</f>
        <v>46800000</v>
      </c>
      <c r="G16" s="995"/>
      <c r="H16" s="739"/>
      <c r="I16" s="739"/>
      <c r="J16" s="740"/>
      <c r="K16" s="739"/>
      <c r="L16" s="739"/>
      <c r="M16" s="741"/>
      <c r="N16" s="740"/>
      <c r="O16" s="739"/>
      <c r="P16" s="739"/>
    </row>
    <row r="17" spans="1:16" ht="60" x14ac:dyDescent="0.25">
      <c r="A17" s="124" t="s">
        <v>649</v>
      </c>
      <c r="B17" s="1014">
        <v>650000</v>
      </c>
      <c r="C17" s="187">
        <v>72</v>
      </c>
      <c r="D17" s="188">
        <v>1</v>
      </c>
      <c r="E17" s="120" t="s">
        <v>368</v>
      </c>
      <c r="F17" s="998">
        <f>+B17*C17*D17</f>
        <v>46800000</v>
      </c>
      <c r="G17" s="994" t="s">
        <v>650</v>
      </c>
      <c r="H17" s="746"/>
      <c r="I17" s="746"/>
      <c r="J17" s="747"/>
      <c r="K17" s="746"/>
      <c r="L17" s="746"/>
      <c r="M17" s="742"/>
      <c r="N17" s="747"/>
      <c r="O17" s="746"/>
      <c r="P17" s="746"/>
    </row>
    <row r="18" spans="1:16" ht="30.75" thickBot="1" x14ac:dyDescent="0.3">
      <c r="A18" s="1002" t="s">
        <v>152</v>
      </c>
      <c r="B18" s="1018">
        <v>1500000</v>
      </c>
      <c r="C18" s="1003">
        <v>1</v>
      </c>
      <c r="D18" s="1004">
        <v>2</v>
      </c>
      <c r="E18" s="1005" t="s">
        <v>507</v>
      </c>
      <c r="F18" s="1006">
        <f>+C18*B18*D18</f>
        <v>3000000</v>
      </c>
      <c r="G18" s="1007" t="s">
        <v>369</v>
      </c>
      <c r="H18" s="746"/>
      <c r="I18" s="746"/>
      <c r="J18" s="747"/>
      <c r="K18" s="746"/>
      <c r="L18" s="746"/>
      <c r="M18" s="742"/>
      <c r="N18" s="747"/>
      <c r="O18" s="746"/>
      <c r="P18" s="746"/>
    </row>
    <row r="19" spans="1:16" ht="16.5" thickBot="1" x14ac:dyDescent="0.3">
      <c r="A19" s="146" t="s">
        <v>90</v>
      </c>
      <c r="B19" s="1019"/>
      <c r="C19" s="1008"/>
      <c r="D19" s="1009"/>
      <c r="E19" s="1010"/>
      <c r="F19" s="1011" t="e">
        <f>+F5+F7</f>
        <v>#REF!</v>
      </c>
      <c r="G19" s="1012"/>
      <c r="H19" s="739"/>
      <c r="I19" s="739"/>
      <c r="J19" s="740"/>
      <c r="K19" s="739"/>
      <c r="L19" s="739"/>
      <c r="M19" s="741"/>
      <c r="N19" s="740"/>
      <c r="O19" s="739"/>
      <c r="P19" s="739"/>
    </row>
    <row r="20" spans="1:16" ht="21" customHeight="1" x14ac:dyDescent="0.25">
      <c r="F20" s="1171"/>
      <c r="H20" s="746"/>
      <c r="I20" s="746"/>
      <c r="J20" s="747"/>
      <c r="K20" s="746"/>
      <c r="L20" s="746"/>
      <c r="M20" s="742"/>
      <c r="N20" s="747"/>
      <c r="O20" s="746"/>
      <c r="P20" s="746"/>
    </row>
    <row r="21" spans="1:16" ht="15.75" x14ac:dyDescent="0.25">
      <c r="H21" s="739"/>
      <c r="I21" s="739"/>
      <c r="J21" s="740"/>
      <c r="K21" s="739"/>
      <c r="L21" s="739"/>
      <c r="M21" s="741"/>
      <c r="N21" s="740"/>
      <c r="O21" s="739"/>
      <c r="P21" s="739"/>
    </row>
    <row r="22" spans="1:16" ht="15.75" x14ac:dyDescent="0.25">
      <c r="F22" s="1171"/>
      <c r="H22" s="739"/>
      <c r="I22" s="739"/>
      <c r="J22" s="740"/>
      <c r="K22" s="739"/>
      <c r="L22" s="739"/>
      <c r="M22" s="741"/>
      <c r="N22" s="740"/>
      <c r="O22" s="739"/>
      <c r="P22" s="739"/>
    </row>
    <row r="23" spans="1:16" x14ac:dyDescent="0.25">
      <c r="E23" s="1438"/>
    </row>
    <row r="26" spans="1:16" x14ac:dyDescent="0.25">
      <c r="D26" s="1438"/>
    </row>
  </sheetData>
  <mergeCells count="4">
    <mergeCell ref="H4:K4"/>
    <mergeCell ref="L4:O4"/>
    <mergeCell ref="A1:G1"/>
    <mergeCell ref="A2:G2"/>
  </mergeCells>
  <pageMargins left="0.74803149606299213" right="0.74803149606299213" top="0.98425196850393704" bottom="0.98425196850393704" header="0.31496062992125984" footer="0.31496062992125984"/>
  <pageSetup scale="60" orientation="landscape" horizontalDpi="4294967293" verticalDpi="0"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282C-0DC2-4495-B02C-FFF621158A61}">
  <dimension ref="A1:K58"/>
  <sheetViews>
    <sheetView showGridLines="0" tabSelected="1" zoomScale="70" zoomScaleNormal="70" workbookViewId="0">
      <selection activeCell="I41" sqref="I41"/>
    </sheetView>
  </sheetViews>
  <sheetFormatPr baseColWidth="10" defaultColWidth="20.28515625" defaultRowHeight="15" x14ac:dyDescent="0.25"/>
  <cols>
    <col min="1" max="2" width="30.85546875" style="1329" customWidth="1"/>
    <col min="3" max="3" width="36.42578125" style="1318" customWidth="1"/>
    <col min="4" max="4" width="57.5703125" style="1318" customWidth="1"/>
    <col min="5" max="5" width="16.42578125" style="1510" customWidth="1"/>
    <col min="6" max="6" width="21.140625" style="209" bestFit="1" customWidth="1"/>
    <col min="7" max="7" width="18.7109375" style="1318" customWidth="1"/>
    <col min="8" max="8" width="21.140625" style="1518" customWidth="1"/>
    <col min="9" max="9" width="107.85546875" style="1318" customWidth="1"/>
    <col min="10" max="10" width="11.7109375" style="1318" customWidth="1"/>
    <col min="11" max="254" width="20.28515625" style="1318"/>
    <col min="255" max="255" width="45.28515625" style="1318" bestFit="1" customWidth="1"/>
    <col min="256" max="256" width="0" style="1318" hidden="1" customWidth="1"/>
    <col min="257" max="257" width="15" style="1318" bestFit="1" customWidth="1"/>
    <col min="258" max="258" width="12.28515625" style="1318" bestFit="1" customWidth="1"/>
    <col min="259" max="261" width="16.7109375" style="1318" bestFit="1" customWidth="1"/>
    <col min="262" max="262" width="73.28515625" style="1318" customWidth="1"/>
    <col min="263" max="510" width="20.28515625" style="1318"/>
    <col min="511" max="511" width="45.28515625" style="1318" bestFit="1" customWidth="1"/>
    <col min="512" max="512" width="0" style="1318" hidden="1" customWidth="1"/>
    <col min="513" max="513" width="15" style="1318" bestFit="1" customWidth="1"/>
    <col min="514" max="514" width="12.28515625" style="1318" bestFit="1" customWidth="1"/>
    <col min="515" max="517" width="16.7109375" style="1318" bestFit="1" customWidth="1"/>
    <col min="518" max="518" width="73.28515625" style="1318" customWidth="1"/>
    <col min="519" max="766" width="20.28515625" style="1318"/>
    <col min="767" max="767" width="45.28515625" style="1318" bestFit="1" customWidth="1"/>
    <col min="768" max="768" width="0" style="1318" hidden="1" customWidth="1"/>
    <col min="769" max="769" width="15" style="1318" bestFit="1" customWidth="1"/>
    <col min="770" max="770" width="12.28515625" style="1318" bestFit="1" customWidth="1"/>
    <col min="771" max="773" width="16.7109375" style="1318" bestFit="1" customWidth="1"/>
    <col min="774" max="774" width="73.28515625" style="1318" customWidth="1"/>
    <col min="775" max="1022" width="20.28515625" style="1318"/>
    <col min="1023" max="1023" width="45.28515625" style="1318" bestFit="1" customWidth="1"/>
    <col min="1024" max="1024" width="0" style="1318" hidden="1" customWidth="1"/>
    <col min="1025" max="1025" width="15" style="1318" bestFit="1" customWidth="1"/>
    <col min="1026" max="1026" width="12.28515625" style="1318" bestFit="1" customWidth="1"/>
    <col min="1027" max="1029" width="16.7109375" style="1318" bestFit="1" customWidth="1"/>
    <col min="1030" max="1030" width="73.28515625" style="1318" customWidth="1"/>
    <col min="1031" max="1278" width="20.28515625" style="1318"/>
    <col min="1279" max="1279" width="45.28515625" style="1318" bestFit="1" customWidth="1"/>
    <col min="1280" max="1280" width="0" style="1318" hidden="1" customWidth="1"/>
    <col min="1281" max="1281" width="15" style="1318" bestFit="1" customWidth="1"/>
    <col min="1282" max="1282" width="12.28515625" style="1318" bestFit="1" customWidth="1"/>
    <col min="1283" max="1285" width="16.7109375" style="1318" bestFit="1" customWidth="1"/>
    <col min="1286" max="1286" width="73.28515625" style="1318" customWidth="1"/>
    <col min="1287" max="1534" width="20.28515625" style="1318"/>
    <col min="1535" max="1535" width="45.28515625" style="1318" bestFit="1" customWidth="1"/>
    <col min="1536" max="1536" width="0" style="1318" hidden="1" customWidth="1"/>
    <col min="1537" max="1537" width="15" style="1318" bestFit="1" customWidth="1"/>
    <col min="1538" max="1538" width="12.28515625" style="1318" bestFit="1" customWidth="1"/>
    <col min="1539" max="1541" width="16.7109375" style="1318" bestFit="1" customWidth="1"/>
    <col min="1542" max="1542" width="73.28515625" style="1318" customWidth="1"/>
    <col min="1543" max="1790" width="20.28515625" style="1318"/>
    <col min="1791" max="1791" width="45.28515625" style="1318" bestFit="1" customWidth="1"/>
    <col min="1792" max="1792" width="0" style="1318" hidden="1" customWidth="1"/>
    <col min="1793" max="1793" width="15" style="1318" bestFit="1" customWidth="1"/>
    <col min="1794" max="1794" width="12.28515625" style="1318" bestFit="1" customWidth="1"/>
    <col min="1795" max="1797" width="16.7109375" style="1318" bestFit="1" customWidth="1"/>
    <col min="1798" max="1798" width="73.28515625" style="1318" customWidth="1"/>
    <col min="1799" max="2046" width="20.28515625" style="1318"/>
    <col min="2047" max="2047" width="45.28515625" style="1318" bestFit="1" customWidth="1"/>
    <col min="2048" max="2048" width="0" style="1318" hidden="1" customWidth="1"/>
    <col min="2049" max="2049" width="15" style="1318" bestFit="1" customWidth="1"/>
    <col min="2050" max="2050" width="12.28515625" style="1318" bestFit="1" customWidth="1"/>
    <col min="2051" max="2053" width="16.7109375" style="1318" bestFit="1" customWidth="1"/>
    <col min="2054" max="2054" width="73.28515625" style="1318" customWidth="1"/>
    <col min="2055" max="2302" width="20.28515625" style="1318"/>
    <col min="2303" max="2303" width="45.28515625" style="1318" bestFit="1" customWidth="1"/>
    <col min="2304" max="2304" width="0" style="1318" hidden="1" customWidth="1"/>
    <col min="2305" max="2305" width="15" style="1318" bestFit="1" customWidth="1"/>
    <col min="2306" max="2306" width="12.28515625" style="1318" bestFit="1" customWidth="1"/>
    <col min="2307" max="2309" width="16.7109375" style="1318" bestFit="1" customWidth="1"/>
    <col min="2310" max="2310" width="73.28515625" style="1318" customWidth="1"/>
    <col min="2311" max="2558" width="20.28515625" style="1318"/>
    <col min="2559" max="2559" width="45.28515625" style="1318" bestFit="1" customWidth="1"/>
    <col min="2560" max="2560" width="0" style="1318" hidden="1" customWidth="1"/>
    <col min="2561" max="2561" width="15" style="1318" bestFit="1" customWidth="1"/>
    <col min="2562" max="2562" width="12.28515625" style="1318" bestFit="1" customWidth="1"/>
    <col min="2563" max="2565" width="16.7109375" style="1318" bestFit="1" customWidth="1"/>
    <col min="2566" max="2566" width="73.28515625" style="1318" customWidth="1"/>
    <col min="2567" max="2814" width="20.28515625" style="1318"/>
    <col min="2815" max="2815" width="45.28515625" style="1318" bestFit="1" customWidth="1"/>
    <col min="2816" max="2816" width="0" style="1318" hidden="1" customWidth="1"/>
    <col min="2817" max="2817" width="15" style="1318" bestFit="1" customWidth="1"/>
    <col min="2818" max="2818" width="12.28515625" style="1318" bestFit="1" customWidth="1"/>
    <col min="2819" max="2821" width="16.7109375" style="1318" bestFit="1" customWidth="1"/>
    <col min="2822" max="2822" width="73.28515625" style="1318" customWidth="1"/>
    <col min="2823" max="3070" width="20.28515625" style="1318"/>
    <col min="3071" max="3071" width="45.28515625" style="1318" bestFit="1" customWidth="1"/>
    <col min="3072" max="3072" width="0" style="1318" hidden="1" customWidth="1"/>
    <col min="3073" max="3073" width="15" style="1318" bestFit="1" customWidth="1"/>
    <col min="3074" max="3074" width="12.28515625" style="1318" bestFit="1" customWidth="1"/>
    <col min="3075" max="3077" width="16.7109375" style="1318" bestFit="1" customWidth="1"/>
    <col min="3078" max="3078" width="73.28515625" style="1318" customWidth="1"/>
    <col min="3079" max="3326" width="20.28515625" style="1318"/>
    <col min="3327" max="3327" width="45.28515625" style="1318" bestFit="1" customWidth="1"/>
    <col min="3328" max="3328" width="0" style="1318" hidden="1" customWidth="1"/>
    <col min="3329" max="3329" width="15" style="1318" bestFit="1" customWidth="1"/>
    <col min="3330" max="3330" width="12.28515625" style="1318" bestFit="1" customWidth="1"/>
    <col min="3331" max="3333" width="16.7109375" style="1318" bestFit="1" customWidth="1"/>
    <col min="3334" max="3334" width="73.28515625" style="1318" customWidth="1"/>
    <col min="3335" max="3582" width="20.28515625" style="1318"/>
    <col min="3583" max="3583" width="45.28515625" style="1318" bestFit="1" customWidth="1"/>
    <col min="3584" max="3584" width="0" style="1318" hidden="1" customWidth="1"/>
    <col min="3585" max="3585" width="15" style="1318" bestFit="1" customWidth="1"/>
    <col min="3586" max="3586" width="12.28515625" style="1318" bestFit="1" customWidth="1"/>
    <col min="3587" max="3589" width="16.7109375" style="1318" bestFit="1" customWidth="1"/>
    <col min="3590" max="3590" width="73.28515625" style="1318" customWidth="1"/>
    <col min="3591" max="3838" width="20.28515625" style="1318"/>
    <col min="3839" max="3839" width="45.28515625" style="1318" bestFit="1" customWidth="1"/>
    <col min="3840" max="3840" width="0" style="1318" hidden="1" customWidth="1"/>
    <col min="3841" max="3841" width="15" style="1318" bestFit="1" customWidth="1"/>
    <col min="3842" max="3842" width="12.28515625" style="1318" bestFit="1" customWidth="1"/>
    <col min="3843" max="3845" width="16.7109375" style="1318" bestFit="1" customWidth="1"/>
    <col min="3846" max="3846" width="73.28515625" style="1318" customWidth="1"/>
    <col min="3847" max="4094" width="20.28515625" style="1318"/>
    <col min="4095" max="4095" width="45.28515625" style="1318" bestFit="1" customWidth="1"/>
    <col min="4096" max="4096" width="0" style="1318" hidden="1" customWidth="1"/>
    <col min="4097" max="4097" width="15" style="1318" bestFit="1" customWidth="1"/>
    <col min="4098" max="4098" width="12.28515625" style="1318" bestFit="1" customWidth="1"/>
    <col min="4099" max="4101" width="16.7109375" style="1318" bestFit="1" customWidth="1"/>
    <col min="4102" max="4102" width="73.28515625" style="1318" customWidth="1"/>
    <col min="4103" max="4350" width="20.28515625" style="1318"/>
    <col min="4351" max="4351" width="45.28515625" style="1318" bestFit="1" customWidth="1"/>
    <col min="4352" max="4352" width="0" style="1318" hidden="1" customWidth="1"/>
    <col min="4353" max="4353" width="15" style="1318" bestFit="1" customWidth="1"/>
    <col min="4354" max="4354" width="12.28515625" style="1318" bestFit="1" customWidth="1"/>
    <col min="4355" max="4357" width="16.7109375" style="1318" bestFit="1" customWidth="1"/>
    <col min="4358" max="4358" width="73.28515625" style="1318" customWidth="1"/>
    <col min="4359" max="4606" width="20.28515625" style="1318"/>
    <col min="4607" max="4607" width="45.28515625" style="1318" bestFit="1" customWidth="1"/>
    <col min="4608" max="4608" width="0" style="1318" hidden="1" customWidth="1"/>
    <col min="4609" max="4609" width="15" style="1318" bestFit="1" customWidth="1"/>
    <col min="4610" max="4610" width="12.28515625" style="1318" bestFit="1" customWidth="1"/>
    <col min="4611" max="4613" width="16.7109375" style="1318" bestFit="1" customWidth="1"/>
    <col min="4614" max="4614" width="73.28515625" style="1318" customWidth="1"/>
    <col min="4615" max="4862" width="20.28515625" style="1318"/>
    <col min="4863" max="4863" width="45.28515625" style="1318" bestFit="1" customWidth="1"/>
    <col min="4864" max="4864" width="0" style="1318" hidden="1" customWidth="1"/>
    <col min="4865" max="4865" width="15" style="1318" bestFit="1" customWidth="1"/>
    <col min="4866" max="4866" width="12.28515625" style="1318" bestFit="1" customWidth="1"/>
    <col min="4867" max="4869" width="16.7109375" style="1318" bestFit="1" customWidth="1"/>
    <col min="4870" max="4870" width="73.28515625" style="1318" customWidth="1"/>
    <col min="4871" max="5118" width="20.28515625" style="1318"/>
    <col min="5119" max="5119" width="45.28515625" style="1318" bestFit="1" customWidth="1"/>
    <col min="5120" max="5120" width="0" style="1318" hidden="1" customWidth="1"/>
    <col min="5121" max="5121" width="15" style="1318" bestFit="1" customWidth="1"/>
    <col min="5122" max="5122" width="12.28515625" style="1318" bestFit="1" customWidth="1"/>
    <col min="5123" max="5125" width="16.7109375" style="1318" bestFit="1" customWidth="1"/>
    <col min="5126" max="5126" width="73.28515625" style="1318" customWidth="1"/>
    <col min="5127" max="5374" width="20.28515625" style="1318"/>
    <col min="5375" max="5375" width="45.28515625" style="1318" bestFit="1" customWidth="1"/>
    <col min="5376" max="5376" width="0" style="1318" hidden="1" customWidth="1"/>
    <col min="5377" max="5377" width="15" style="1318" bestFit="1" customWidth="1"/>
    <col min="5378" max="5378" width="12.28515625" style="1318" bestFit="1" customWidth="1"/>
    <col min="5379" max="5381" width="16.7109375" style="1318" bestFit="1" customWidth="1"/>
    <col min="5382" max="5382" width="73.28515625" style="1318" customWidth="1"/>
    <col min="5383" max="5630" width="20.28515625" style="1318"/>
    <col min="5631" max="5631" width="45.28515625" style="1318" bestFit="1" customWidth="1"/>
    <col min="5632" max="5632" width="0" style="1318" hidden="1" customWidth="1"/>
    <col min="5633" max="5633" width="15" style="1318" bestFit="1" customWidth="1"/>
    <col min="5634" max="5634" width="12.28515625" style="1318" bestFit="1" customWidth="1"/>
    <col min="5635" max="5637" width="16.7109375" style="1318" bestFit="1" customWidth="1"/>
    <col min="5638" max="5638" width="73.28515625" style="1318" customWidth="1"/>
    <col min="5639" max="5886" width="20.28515625" style="1318"/>
    <col min="5887" max="5887" width="45.28515625" style="1318" bestFit="1" customWidth="1"/>
    <col min="5888" max="5888" width="0" style="1318" hidden="1" customWidth="1"/>
    <col min="5889" max="5889" width="15" style="1318" bestFit="1" customWidth="1"/>
    <col min="5890" max="5890" width="12.28515625" style="1318" bestFit="1" customWidth="1"/>
    <col min="5891" max="5893" width="16.7109375" style="1318" bestFit="1" customWidth="1"/>
    <col min="5894" max="5894" width="73.28515625" style="1318" customWidth="1"/>
    <col min="5895" max="6142" width="20.28515625" style="1318"/>
    <col min="6143" max="6143" width="45.28515625" style="1318" bestFit="1" customWidth="1"/>
    <col min="6144" max="6144" width="0" style="1318" hidden="1" customWidth="1"/>
    <col min="6145" max="6145" width="15" style="1318" bestFit="1" customWidth="1"/>
    <col min="6146" max="6146" width="12.28515625" style="1318" bestFit="1" customWidth="1"/>
    <col min="6147" max="6149" width="16.7109375" style="1318" bestFit="1" customWidth="1"/>
    <col min="6150" max="6150" width="73.28515625" style="1318" customWidth="1"/>
    <col min="6151" max="6398" width="20.28515625" style="1318"/>
    <col min="6399" max="6399" width="45.28515625" style="1318" bestFit="1" customWidth="1"/>
    <col min="6400" max="6400" width="0" style="1318" hidden="1" customWidth="1"/>
    <col min="6401" max="6401" width="15" style="1318" bestFit="1" customWidth="1"/>
    <col min="6402" max="6402" width="12.28515625" style="1318" bestFit="1" customWidth="1"/>
    <col min="6403" max="6405" width="16.7109375" style="1318" bestFit="1" customWidth="1"/>
    <col min="6406" max="6406" width="73.28515625" style="1318" customWidth="1"/>
    <col min="6407" max="6654" width="20.28515625" style="1318"/>
    <col min="6655" max="6655" width="45.28515625" style="1318" bestFit="1" customWidth="1"/>
    <col min="6656" max="6656" width="0" style="1318" hidden="1" customWidth="1"/>
    <col min="6657" max="6657" width="15" style="1318" bestFit="1" customWidth="1"/>
    <col min="6658" max="6658" width="12.28515625" style="1318" bestFit="1" customWidth="1"/>
    <col min="6659" max="6661" width="16.7109375" style="1318" bestFit="1" customWidth="1"/>
    <col min="6662" max="6662" width="73.28515625" style="1318" customWidth="1"/>
    <col min="6663" max="6910" width="20.28515625" style="1318"/>
    <col min="6911" max="6911" width="45.28515625" style="1318" bestFit="1" customWidth="1"/>
    <col min="6912" max="6912" width="0" style="1318" hidden="1" customWidth="1"/>
    <col min="6913" max="6913" width="15" style="1318" bestFit="1" customWidth="1"/>
    <col min="6914" max="6914" width="12.28515625" style="1318" bestFit="1" customWidth="1"/>
    <col min="6915" max="6917" width="16.7109375" style="1318" bestFit="1" customWidth="1"/>
    <col min="6918" max="6918" width="73.28515625" style="1318" customWidth="1"/>
    <col min="6919" max="7166" width="20.28515625" style="1318"/>
    <col min="7167" max="7167" width="45.28515625" style="1318" bestFit="1" customWidth="1"/>
    <col min="7168" max="7168" width="0" style="1318" hidden="1" customWidth="1"/>
    <col min="7169" max="7169" width="15" style="1318" bestFit="1" customWidth="1"/>
    <col min="7170" max="7170" width="12.28515625" style="1318" bestFit="1" customWidth="1"/>
    <col min="7171" max="7173" width="16.7109375" style="1318" bestFit="1" customWidth="1"/>
    <col min="7174" max="7174" width="73.28515625" style="1318" customWidth="1"/>
    <col min="7175" max="7422" width="20.28515625" style="1318"/>
    <col min="7423" max="7423" width="45.28515625" style="1318" bestFit="1" customWidth="1"/>
    <col min="7424" max="7424" width="0" style="1318" hidden="1" customWidth="1"/>
    <col min="7425" max="7425" width="15" style="1318" bestFit="1" customWidth="1"/>
    <col min="7426" max="7426" width="12.28515625" style="1318" bestFit="1" customWidth="1"/>
    <col min="7427" max="7429" width="16.7109375" style="1318" bestFit="1" customWidth="1"/>
    <col min="7430" max="7430" width="73.28515625" style="1318" customWidth="1"/>
    <col min="7431" max="7678" width="20.28515625" style="1318"/>
    <col min="7679" max="7679" width="45.28515625" style="1318" bestFit="1" customWidth="1"/>
    <col min="7680" max="7680" width="0" style="1318" hidden="1" customWidth="1"/>
    <col min="7681" max="7681" width="15" style="1318" bestFit="1" customWidth="1"/>
    <col min="7682" max="7682" width="12.28515625" style="1318" bestFit="1" customWidth="1"/>
    <col min="7683" max="7685" width="16.7109375" style="1318" bestFit="1" customWidth="1"/>
    <col min="7686" max="7686" width="73.28515625" style="1318" customWidth="1"/>
    <col min="7687" max="7934" width="20.28515625" style="1318"/>
    <col min="7935" max="7935" width="45.28515625" style="1318" bestFit="1" customWidth="1"/>
    <col min="7936" max="7936" width="0" style="1318" hidden="1" customWidth="1"/>
    <col min="7937" max="7937" width="15" style="1318" bestFit="1" customWidth="1"/>
    <col min="7938" max="7938" width="12.28515625" style="1318" bestFit="1" customWidth="1"/>
    <col min="7939" max="7941" width="16.7109375" style="1318" bestFit="1" customWidth="1"/>
    <col min="7942" max="7942" width="73.28515625" style="1318" customWidth="1"/>
    <col min="7943" max="8190" width="20.28515625" style="1318"/>
    <col min="8191" max="8191" width="45.28515625" style="1318" bestFit="1" customWidth="1"/>
    <col min="8192" max="8192" width="0" style="1318" hidden="1" customWidth="1"/>
    <col min="8193" max="8193" width="15" style="1318" bestFit="1" customWidth="1"/>
    <col min="8194" max="8194" width="12.28515625" style="1318" bestFit="1" customWidth="1"/>
    <col min="8195" max="8197" width="16.7109375" style="1318" bestFit="1" customWidth="1"/>
    <col min="8198" max="8198" width="73.28515625" style="1318" customWidth="1"/>
    <col min="8199" max="8446" width="20.28515625" style="1318"/>
    <col min="8447" max="8447" width="45.28515625" style="1318" bestFit="1" customWidth="1"/>
    <col min="8448" max="8448" width="0" style="1318" hidden="1" customWidth="1"/>
    <col min="8449" max="8449" width="15" style="1318" bestFit="1" customWidth="1"/>
    <col min="8450" max="8450" width="12.28515625" style="1318" bestFit="1" customWidth="1"/>
    <col min="8451" max="8453" width="16.7109375" style="1318" bestFit="1" customWidth="1"/>
    <col min="8454" max="8454" width="73.28515625" style="1318" customWidth="1"/>
    <col min="8455" max="8702" width="20.28515625" style="1318"/>
    <col min="8703" max="8703" width="45.28515625" style="1318" bestFit="1" customWidth="1"/>
    <col min="8704" max="8704" width="0" style="1318" hidden="1" customWidth="1"/>
    <col min="8705" max="8705" width="15" style="1318" bestFit="1" customWidth="1"/>
    <col min="8706" max="8706" width="12.28515625" style="1318" bestFit="1" customWidth="1"/>
    <col min="8707" max="8709" width="16.7109375" style="1318" bestFit="1" customWidth="1"/>
    <col min="8710" max="8710" width="73.28515625" style="1318" customWidth="1"/>
    <col min="8711" max="8958" width="20.28515625" style="1318"/>
    <col min="8959" max="8959" width="45.28515625" style="1318" bestFit="1" customWidth="1"/>
    <col min="8960" max="8960" width="0" style="1318" hidden="1" customWidth="1"/>
    <col min="8961" max="8961" width="15" style="1318" bestFit="1" customWidth="1"/>
    <col min="8962" max="8962" width="12.28515625" style="1318" bestFit="1" customWidth="1"/>
    <col min="8963" max="8965" width="16.7109375" style="1318" bestFit="1" customWidth="1"/>
    <col min="8966" max="8966" width="73.28515625" style="1318" customWidth="1"/>
    <col min="8967" max="9214" width="20.28515625" style="1318"/>
    <col min="9215" max="9215" width="45.28515625" style="1318" bestFit="1" customWidth="1"/>
    <col min="9216" max="9216" width="0" style="1318" hidden="1" customWidth="1"/>
    <col min="9217" max="9217" width="15" style="1318" bestFit="1" customWidth="1"/>
    <col min="9218" max="9218" width="12.28515625" style="1318" bestFit="1" customWidth="1"/>
    <col min="9219" max="9221" width="16.7109375" style="1318" bestFit="1" customWidth="1"/>
    <col min="9222" max="9222" width="73.28515625" style="1318" customWidth="1"/>
    <col min="9223" max="9470" width="20.28515625" style="1318"/>
    <col min="9471" max="9471" width="45.28515625" style="1318" bestFit="1" customWidth="1"/>
    <col min="9472" max="9472" width="0" style="1318" hidden="1" customWidth="1"/>
    <col min="9473" max="9473" width="15" style="1318" bestFit="1" customWidth="1"/>
    <col min="9474" max="9474" width="12.28515625" style="1318" bestFit="1" customWidth="1"/>
    <col min="9475" max="9477" width="16.7109375" style="1318" bestFit="1" customWidth="1"/>
    <col min="9478" max="9478" width="73.28515625" style="1318" customWidth="1"/>
    <col min="9479" max="9726" width="20.28515625" style="1318"/>
    <col min="9727" max="9727" width="45.28515625" style="1318" bestFit="1" customWidth="1"/>
    <col min="9728" max="9728" width="0" style="1318" hidden="1" customWidth="1"/>
    <col min="9729" max="9729" width="15" style="1318" bestFit="1" customWidth="1"/>
    <col min="9730" max="9730" width="12.28515625" style="1318" bestFit="1" customWidth="1"/>
    <col min="9731" max="9733" width="16.7109375" style="1318" bestFit="1" customWidth="1"/>
    <col min="9734" max="9734" width="73.28515625" style="1318" customWidth="1"/>
    <col min="9735" max="9982" width="20.28515625" style="1318"/>
    <col min="9983" max="9983" width="45.28515625" style="1318" bestFit="1" customWidth="1"/>
    <col min="9984" max="9984" width="0" style="1318" hidden="1" customWidth="1"/>
    <col min="9985" max="9985" width="15" style="1318" bestFit="1" customWidth="1"/>
    <col min="9986" max="9986" width="12.28515625" style="1318" bestFit="1" customWidth="1"/>
    <col min="9987" max="9989" width="16.7109375" style="1318" bestFit="1" customWidth="1"/>
    <col min="9990" max="9990" width="73.28515625" style="1318" customWidth="1"/>
    <col min="9991" max="10238" width="20.28515625" style="1318"/>
    <col min="10239" max="10239" width="45.28515625" style="1318" bestFit="1" customWidth="1"/>
    <col min="10240" max="10240" width="0" style="1318" hidden="1" customWidth="1"/>
    <col min="10241" max="10241" width="15" style="1318" bestFit="1" customWidth="1"/>
    <col min="10242" max="10242" width="12.28515625" style="1318" bestFit="1" customWidth="1"/>
    <col min="10243" max="10245" width="16.7109375" style="1318" bestFit="1" customWidth="1"/>
    <col min="10246" max="10246" width="73.28515625" style="1318" customWidth="1"/>
    <col min="10247" max="10494" width="20.28515625" style="1318"/>
    <col min="10495" max="10495" width="45.28515625" style="1318" bestFit="1" customWidth="1"/>
    <col min="10496" max="10496" width="0" style="1318" hidden="1" customWidth="1"/>
    <col min="10497" max="10497" width="15" style="1318" bestFit="1" customWidth="1"/>
    <col min="10498" max="10498" width="12.28515625" style="1318" bestFit="1" customWidth="1"/>
    <col min="10499" max="10501" width="16.7109375" style="1318" bestFit="1" customWidth="1"/>
    <col min="10502" max="10502" width="73.28515625" style="1318" customWidth="1"/>
    <col min="10503" max="10750" width="20.28515625" style="1318"/>
    <col min="10751" max="10751" width="45.28515625" style="1318" bestFit="1" customWidth="1"/>
    <col min="10752" max="10752" width="0" style="1318" hidden="1" customWidth="1"/>
    <col min="10753" max="10753" width="15" style="1318" bestFit="1" customWidth="1"/>
    <col min="10754" max="10754" width="12.28515625" style="1318" bestFit="1" customWidth="1"/>
    <col min="10755" max="10757" width="16.7109375" style="1318" bestFit="1" customWidth="1"/>
    <col min="10758" max="10758" width="73.28515625" style="1318" customWidth="1"/>
    <col min="10759" max="11006" width="20.28515625" style="1318"/>
    <col min="11007" max="11007" width="45.28515625" style="1318" bestFit="1" customWidth="1"/>
    <col min="11008" max="11008" width="0" style="1318" hidden="1" customWidth="1"/>
    <col min="11009" max="11009" width="15" style="1318" bestFit="1" customWidth="1"/>
    <col min="11010" max="11010" width="12.28515625" style="1318" bestFit="1" customWidth="1"/>
    <col min="11011" max="11013" width="16.7109375" style="1318" bestFit="1" customWidth="1"/>
    <col min="11014" max="11014" width="73.28515625" style="1318" customWidth="1"/>
    <col min="11015" max="11262" width="20.28515625" style="1318"/>
    <col min="11263" max="11263" width="45.28515625" style="1318" bestFit="1" customWidth="1"/>
    <col min="11264" max="11264" width="0" style="1318" hidden="1" customWidth="1"/>
    <col min="11265" max="11265" width="15" style="1318" bestFit="1" customWidth="1"/>
    <col min="11266" max="11266" width="12.28515625" style="1318" bestFit="1" customWidth="1"/>
    <col min="11267" max="11269" width="16.7109375" style="1318" bestFit="1" customWidth="1"/>
    <col min="11270" max="11270" width="73.28515625" style="1318" customWidth="1"/>
    <col min="11271" max="11518" width="20.28515625" style="1318"/>
    <col min="11519" max="11519" width="45.28515625" style="1318" bestFit="1" customWidth="1"/>
    <col min="11520" max="11520" width="0" style="1318" hidden="1" customWidth="1"/>
    <col min="11521" max="11521" width="15" style="1318" bestFit="1" customWidth="1"/>
    <col min="11522" max="11522" width="12.28515625" style="1318" bestFit="1" customWidth="1"/>
    <col min="11523" max="11525" width="16.7109375" style="1318" bestFit="1" customWidth="1"/>
    <col min="11526" max="11526" width="73.28515625" style="1318" customWidth="1"/>
    <col min="11527" max="11774" width="20.28515625" style="1318"/>
    <col min="11775" max="11775" width="45.28515625" style="1318" bestFit="1" customWidth="1"/>
    <col min="11776" max="11776" width="0" style="1318" hidden="1" customWidth="1"/>
    <col min="11777" max="11777" width="15" style="1318" bestFit="1" customWidth="1"/>
    <col min="11778" max="11778" width="12.28515625" style="1318" bestFit="1" customWidth="1"/>
    <col min="11779" max="11781" width="16.7109375" style="1318" bestFit="1" customWidth="1"/>
    <col min="11782" max="11782" width="73.28515625" style="1318" customWidth="1"/>
    <col min="11783" max="12030" width="20.28515625" style="1318"/>
    <col min="12031" max="12031" width="45.28515625" style="1318" bestFit="1" customWidth="1"/>
    <col min="12032" max="12032" width="0" style="1318" hidden="1" customWidth="1"/>
    <col min="12033" max="12033" width="15" style="1318" bestFit="1" customWidth="1"/>
    <col min="12034" max="12034" width="12.28515625" style="1318" bestFit="1" customWidth="1"/>
    <col min="12035" max="12037" width="16.7109375" style="1318" bestFit="1" customWidth="1"/>
    <col min="12038" max="12038" width="73.28515625" style="1318" customWidth="1"/>
    <col min="12039" max="12286" width="20.28515625" style="1318"/>
    <col min="12287" max="12287" width="45.28515625" style="1318" bestFit="1" customWidth="1"/>
    <col min="12288" max="12288" width="0" style="1318" hidden="1" customWidth="1"/>
    <col min="12289" max="12289" width="15" style="1318" bestFit="1" customWidth="1"/>
    <col min="12290" max="12290" width="12.28515625" style="1318" bestFit="1" customWidth="1"/>
    <col min="12291" max="12293" width="16.7109375" style="1318" bestFit="1" customWidth="1"/>
    <col min="12294" max="12294" width="73.28515625" style="1318" customWidth="1"/>
    <col min="12295" max="12542" width="20.28515625" style="1318"/>
    <col min="12543" max="12543" width="45.28515625" style="1318" bestFit="1" customWidth="1"/>
    <col min="12544" max="12544" width="0" style="1318" hidden="1" customWidth="1"/>
    <col min="12545" max="12545" width="15" style="1318" bestFit="1" customWidth="1"/>
    <col min="12546" max="12546" width="12.28515625" style="1318" bestFit="1" customWidth="1"/>
    <col min="12547" max="12549" width="16.7109375" style="1318" bestFit="1" customWidth="1"/>
    <col min="12550" max="12550" width="73.28515625" style="1318" customWidth="1"/>
    <col min="12551" max="12798" width="20.28515625" style="1318"/>
    <col min="12799" max="12799" width="45.28515625" style="1318" bestFit="1" customWidth="1"/>
    <col min="12800" max="12800" width="0" style="1318" hidden="1" customWidth="1"/>
    <col min="12801" max="12801" width="15" style="1318" bestFit="1" customWidth="1"/>
    <col min="12802" max="12802" width="12.28515625" style="1318" bestFit="1" customWidth="1"/>
    <col min="12803" max="12805" width="16.7109375" style="1318" bestFit="1" customWidth="1"/>
    <col min="12806" max="12806" width="73.28515625" style="1318" customWidth="1"/>
    <col min="12807" max="13054" width="20.28515625" style="1318"/>
    <col min="13055" max="13055" width="45.28515625" style="1318" bestFit="1" customWidth="1"/>
    <col min="13056" max="13056" width="0" style="1318" hidden="1" customWidth="1"/>
    <col min="13057" max="13057" width="15" style="1318" bestFit="1" customWidth="1"/>
    <col min="13058" max="13058" width="12.28515625" style="1318" bestFit="1" customWidth="1"/>
    <col min="13059" max="13061" width="16.7109375" style="1318" bestFit="1" customWidth="1"/>
    <col min="13062" max="13062" width="73.28515625" style="1318" customWidth="1"/>
    <col min="13063" max="13310" width="20.28515625" style="1318"/>
    <col min="13311" max="13311" width="45.28515625" style="1318" bestFit="1" customWidth="1"/>
    <col min="13312" max="13312" width="0" style="1318" hidden="1" customWidth="1"/>
    <col min="13313" max="13313" width="15" style="1318" bestFit="1" customWidth="1"/>
    <col min="13314" max="13314" width="12.28515625" style="1318" bestFit="1" customWidth="1"/>
    <col min="13315" max="13317" width="16.7109375" style="1318" bestFit="1" customWidth="1"/>
    <col min="13318" max="13318" width="73.28515625" style="1318" customWidth="1"/>
    <col min="13319" max="13566" width="20.28515625" style="1318"/>
    <col min="13567" max="13567" width="45.28515625" style="1318" bestFit="1" customWidth="1"/>
    <col min="13568" max="13568" width="0" style="1318" hidden="1" customWidth="1"/>
    <col min="13569" max="13569" width="15" style="1318" bestFit="1" customWidth="1"/>
    <col min="13570" max="13570" width="12.28515625" style="1318" bestFit="1" customWidth="1"/>
    <col min="13571" max="13573" width="16.7109375" style="1318" bestFit="1" customWidth="1"/>
    <col min="13574" max="13574" width="73.28515625" style="1318" customWidth="1"/>
    <col min="13575" max="13822" width="20.28515625" style="1318"/>
    <col min="13823" max="13823" width="45.28515625" style="1318" bestFit="1" customWidth="1"/>
    <col min="13824" max="13824" width="0" style="1318" hidden="1" customWidth="1"/>
    <col min="13825" max="13825" width="15" style="1318" bestFit="1" customWidth="1"/>
    <col min="13826" max="13826" width="12.28515625" style="1318" bestFit="1" customWidth="1"/>
    <col min="13827" max="13829" width="16.7109375" style="1318" bestFit="1" customWidth="1"/>
    <col min="13830" max="13830" width="73.28515625" style="1318" customWidth="1"/>
    <col min="13831" max="14078" width="20.28515625" style="1318"/>
    <col min="14079" max="14079" width="45.28515625" style="1318" bestFit="1" customWidth="1"/>
    <col min="14080" max="14080" width="0" style="1318" hidden="1" customWidth="1"/>
    <col min="14081" max="14081" width="15" style="1318" bestFit="1" customWidth="1"/>
    <col min="14082" max="14082" width="12.28515625" style="1318" bestFit="1" customWidth="1"/>
    <col min="14083" max="14085" width="16.7109375" style="1318" bestFit="1" customWidth="1"/>
    <col min="14086" max="14086" width="73.28515625" style="1318" customWidth="1"/>
    <col min="14087" max="14334" width="20.28515625" style="1318"/>
    <col min="14335" max="14335" width="45.28515625" style="1318" bestFit="1" customWidth="1"/>
    <col min="14336" max="14336" width="0" style="1318" hidden="1" customWidth="1"/>
    <col min="14337" max="14337" width="15" style="1318" bestFit="1" customWidth="1"/>
    <col min="14338" max="14338" width="12.28515625" style="1318" bestFit="1" customWidth="1"/>
    <col min="14339" max="14341" width="16.7109375" style="1318" bestFit="1" customWidth="1"/>
    <col min="14342" max="14342" width="73.28515625" style="1318" customWidth="1"/>
    <col min="14343" max="14590" width="20.28515625" style="1318"/>
    <col min="14591" max="14591" width="45.28515625" style="1318" bestFit="1" customWidth="1"/>
    <col min="14592" max="14592" width="0" style="1318" hidden="1" customWidth="1"/>
    <col min="14593" max="14593" width="15" style="1318" bestFit="1" customWidth="1"/>
    <col min="14594" max="14594" width="12.28515625" style="1318" bestFit="1" customWidth="1"/>
    <col min="14595" max="14597" width="16.7109375" style="1318" bestFit="1" customWidth="1"/>
    <col min="14598" max="14598" width="73.28515625" style="1318" customWidth="1"/>
    <col min="14599" max="14846" width="20.28515625" style="1318"/>
    <col min="14847" max="14847" width="45.28515625" style="1318" bestFit="1" customWidth="1"/>
    <col min="14848" max="14848" width="0" style="1318" hidden="1" customWidth="1"/>
    <col min="14849" max="14849" width="15" style="1318" bestFit="1" customWidth="1"/>
    <col min="14850" max="14850" width="12.28515625" style="1318" bestFit="1" customWidth="1"/>
    <col min="14851" max="14853" width="16.7109375" style="1318" bestFit="1" customWidth="1"/>
    <col min="14854" max="14854" width="73.28515625" style="1318" customWidth="1"/>
    <col min="14855" max="15102" width="20.28515625" style="1318"/>
    <col min="15103" max="15103" width="45.28515625" style="1318" bestFit="1" customWidth="1"/>
    <col min="15104" max="15104" width="0" style="1318" hidden="1" customWidth="1"/>
    <col min="15105" max="15105" width="15" style="1318" bestFit="1" customWidth="1"/>
    <col min="15106" max="15106" width="12.28515625" style="1318" bestFit="1" customWidth="1"/>
    <col min="15107" max="15109" width="16.7109375" style="1318" bestFit="1" customWidth="1"/>
    <col min="15110" max="15110" width="73.28515625" style="1318" customWidth="1"/>
    <col min="15111" max="15358" width="20.28515625" style="1318"/>
    <col min="15359" max="15359" width="45.28515625" style="1318" bestFit="1" customWidth="1"/>
    <col min="15360" max="15360" width="0" style="1318" hidden="1" customWidth="1"/>
    <col min="15361" max="15361" width="15" style="1318" bestFit="1" customWidth="1"/>
    <col min="15362" max="15362" width="12.28515625" style="1318" bestFit="1" customWidth="1"/>
    <col min="15363" max="15365" width="16.7109375" style="1318" bestFit="1" customWidth="1"/>
    <col min="15366" max="15366" width="73.28515625" style="1318" customWidth="1"/>
    <col min="15367" max="15614" width="20.28515625" style="1318"/>
    <col min="15615" max="15615" width="45.28515625" style="1318" bestFit="1" customWidth="1"/>
    <col min="15616" max="15616" width="0" style="1318" hidden="1" customWidth="1"/>
    <col min="15617" max="15617" width="15" style="1318" bestFit="1" customWidth="1"/>
    <col min="15618" max="15618" width="12.28515625" style="1318" bestFit="1" customWidth="1"/>
    <col min="15619" max="15621" width="16.7109375" style="1318" bestFit="1" customWidth="1"/>
    <col min="15622" max="15622" width="73.28515625" style="1318" customWidth="1"/>
    <col min="15623" max="15870" width="20.28515625" style="1318"/>
    <col min="15871" max="15871" width="45.28515625" style="1318" bestFit="1" customWidth="1"/>
    <col min="15872" max="15872" width="0" style="1318" hidden="1" customWidth="1"/>
    <col min="15873" max="15873" width="15" style="1318" bestFit="1" customWidth="1"/>
    <col min="15874" max="15874" width="12.28515625" style="1318" bestFit="1" customWidth="1"/>
    <col min="15875" max="15877" width="16.7109375" style="1318" bestFit="1" customWidth="1"/>
    <col min="15878" max="15878" width="73.28515625" style="1318" customWidth="1"/>
    <col min="15879" max="16126" width="20.28515625" style="1318"/>
    <col min="16127" max="16127" width="45.28515625" style="1318" bestFit="1" customWidth="1"/>
    <col min="16128" max="16128" width="0" style="1318" hidden="1" customWidth="1"/>
    <col min="16129" max="16129" width="15" style="1318" bestFit="1" customWidth="1"/>
    <col min="16130" max="16130" width="12.28515625" style="1318" bestFit="1" customWidth="1"/>
    <col min="16131" max="16133" width="16.7109375" style="1318" bestFit="1" customWidth="1"/>
    <col min="16134" max="16134" width="73.28515625" style="1318" customWidth="1"/>
    <col min="16135" max="16384" width="20.28515625" style="1318"/>
  </cols>
  <sheetData>
    <row r="1" spans="1:10" s="1319" customFormat="1" ht="18" customHeight="1" x14ac:dyDescent="0.2">
      <c r="A1" s="1593" t="s">
        <v>55</v>
      </c>
      <c r="B1" s="1593"/>
      <c r="C1" s="1593"/>
      <c r="D1" s="1593"/>
      <c r="E1" s="1593"/>
      <c r="F1" s="1593"/>
      <c r="G1" s="1593"/>
      <c r="H1" s="1593"/>
      <c r="I1" s="1593"/>
    </row>
    <row r="2" spans="1:10" s="1319" customFormat="1" ht="18" customHeight="1" x14ac:dyDescent="0.2">
      <c r="A2" s="1593" t="s">
        <v>668</v>
      </c>
      <c r="B2" s="1593"/>
      <c r="C2" s="1593"/>
      <c r="D2" s="1593"/>
      <c r="E2" s="1593"/>
      <c r="F2" s="1593"/>
      <c r="G2" s="1593"/>
      <c r="H2" s="1593"/>
      <c r="I2" s="1593"/>
    </row>
    <row r="3" spans="1:10" ht="15.75" thickBot="1" x14ac:dyDescent="0.3"/>
    <row r="4" spans="1:10" s="1329" customFormat="1" ht="34.9" customHeight="1" thickBot="1" x14ac:dyDescent="0.3">
      <c r="A4" s="1492" t="s">
        <v>654</v>
      </c>
      <c r="B4" s="1492" t="s">
        <v>655</v>
      </c>
      <c r="C4" s="1493" t="s">
        <v>132</v>
      </c>
      <c r="D4" s="1493" t="s">
        <v>656</v>
      </c>
      <c r="E4" s="1511" t="s">
        <v>183</v>
      </c>
      <c r="F4" s="1493" t="s">
        <v>133</v>
      </c>
      <c r="G4" s="1493" t="s">
        <v>657</v>
      </c>
      <c r="H4" s="1519" t="s">
        <v>674</v>
      </c>
      <c r="I4" s="1494" t="s">
        <v>182</v>
      </c>
    </row>
    <row r="5" spans="1:10" s="1329" customFormat="1" ht="45" x14ac:dyDescent="0.25">
      <c r="A5" s="1595" t="s">
        <v>658</v>
      </c>
      <c r="B5" s="1587" t="s">
        <v>669</v>
      </c>
      <c r="C5" s="1495" t="s">
        <v>135</v>
      </c>
      <c r="D5" s="1496" t="s">
        <v>680</v>
      </c>
      <c r="E5" s="1512">
        <v>227855.25</v>
      </c>
      <c r="F5" s="860">
        <v>3</v>
      </c>
      <c r="G5" s="1502" t="s">
        <v>192</v>
      </c>
      <c r="H5" s="1520">
        <f>+E5*F5</f>
        <v>683565.75</v>
      </c>
      <c r="I5" s="328" t="s">
        <v>590</v>
      </c>
    </row>
    <row r="6" spans="1:10" s="1329" customFormat="1" ht="45" x14ac:dyDescent="0.25">
      <c r="A6" s="1596"/>
      <c r="B6" s="1588"/>
      <c r="C6" s="1495" t="s">
        <v>591</v>
      </c>
      <c r="D6" s="1496" t="s">
        <v>660</v>
      </c>
      <c r="E6" s="1512">
        <v>4550000</v>
      </c>
      <c r="F6" s="860">
        <v>1</v>
      </c>
      <c r="G6" s="1419" t="s">
        <v>591</v>
      </c>
      <c r="H6" s="1520">
        <f>+E6*F6</f>
        <v>4550000</v>
      </c>
      <c r="I6" s="328" t="s">
        <v>592</v>
      </c>
    </row>
    <row r="7" spans="1:10" s="1329" customFormat="1" ht="45" x14ac:dyDescent="0.25">
      <c r="A7" s="1596"/>
      <c r="B7" s="1588"/>
      <c r="C7" s="1495" t="s">
        <v>593</v>
      </c>
      <c r="D7" s="1496" t="s">
        <v>660</v>
      </c>
      <c r="E7" s="1512">
        <v>800000</v>
      </c>
      <c r="F7" s="860">
        <v>1</v>
      </c>
      <c r="G7" s="1419" t="s">
        <v>225</v>
      </c>
      <c r="H7" s="1520">
        <f t="shared" ref="H7:H52" si="0">+E7*F7</f>
        <v>800000</v>
      </c>
      <c r="I7" s="328" t="s">
        <v>594</v>
      </c>
    </row>
    <row r="8" spans="1:10" s="1329" customFormat="1" ht="45" x14ac:dyDescent="0.25">
      <c r="A8" s="1596"/>
      <c r="B8" s="1588"/>
      <c r="C8" s="1495" t="s">
        <v>393</v>
      </c>
      <c r="D8" s="1496" t="s">
        <v>660</v>
      </c>
      <c r="E8" s="1512">
        <v>300000</v>
      </c>
      <c r="F8" s="860">
        <v>1</v>
      </c>
      <c r="G8" s="1419" t="s">
        <v>225</v>
      </c>
      <c r="H8" s="1520">
        <f t="shared" si="0"/>
        <v>300000</v>
      </c>
      <c r="I8" s="328" t="s">
        <v>595</v>
      </c>
    </row>
    <row r="9" spans="1:10" s="1329" customFormat="1" ht="45" x14ac:dyDescent="0.25">
      <c r="A9" s="1596"/>
      <c r="B9" s="1588"/>
      <c r="C9" s="1495" t="s">
        <v>315</v>
      </c>
      <c r="D9" s="1496" t="s">
        <v>660</v>
      </c>
      <c r="E9" s="1512">
        <v>110600</v>
      </c>
      <c r="F9" s="860">
        <v>2</v>
      </c>
      <c r="G9" s="1419" t="s">
        <v>225</v>
      </c>
      <c r="H9" s="1520">
        <f t="shared" si="0"/>
        <v>221200</v>
      </c>
      <c r="I9" s="328" t="s">
        <v>596</v>
      </c>
    </row>
    <row r="10" spans="1:10" s="1329" customFormat="1" ht="45" x14ac:dyDescent="0.25">
      <c r="A10" s="1596"/>
      <c r="B10" s="1588"/>
      <c r="C10" s="1495" t="s">
        <v>337</v>
      </c>
      <c r="D10" s="1496" t="s">
        <v>660</v>
      </c>
      <c r="E10" s="1512">
        <v>220000</v>
      </c>
      <c r="F10" s="860">
        <v>2</v>
      </c>
      <c r="G10" s="1419" t="s">
        <v>338</v>
      </c>
      <c r="H10" s="1520">
        <f t="shared" si="0"/>
        <v>440000</v>
      </c>
      <c r="I10" s="328" t="s">
        <v>339</v>
      </c>
    </row>
    <row r="11" spans="1:10" s="1329" customFormat="1" ht="45" x14ac:dyDescent="0.25">
      <c r="A11" s="1596"/>
      <c r="B11" s="1588"/>
      <c r="C11" s="1495" t="s">
        <v>515</v>
      </c>
      <c r="D11" s="1496" t="s">
        <v>660</v>
      </c>
      <c r="E11" s="1512">
        <v>1000000</v>
      </c>
      <c r="F11" s="860">
        <v>1</v>
      </c>
      <c r="G11" s="1419" t="s">
        <v>514</v>
      </c>
      <c r="H11" s="1520">
        <f t="shared" si="0"/>
        <v>1000000</v>
      </c>
      <c r="I11" s="328" t="s">
        <v>597</v>
      </c>
    </row>
    <row r="12" spans="1:10" s="1334" customFormat="1" ht="45" x14ac:dyDescent="0.25">
      <c r="A12" s="1597"/>
      <c r="B12" s="1589"/>
      <c r="C12" s="1495" t="s">
        <v>334</v>
      </c>
      <c r="D12" s="1496" t="s">
        <v>660</v>
      </c>
      <c r="E12" s="1512">
        <v>30000</v>
      </c>
      <c r="F12" s="860">
        <v>1</v>
      </c>
      <c r="G12" s="1419" t="s">
        <v>194</v>
      </c>
      <c r="H12" s="1520">
        <f t="shared" si="0"/>
        <v>30000</v>
      </c>
      <c r="I12" s="328" t="s">
        <v>534</v>
      </c>
    </row>
    <row r="13" spans="1:10" s="1334" customFormat="1" ht="30" x14ac:dyDescent="0.25">
      <c r="A13" s="1594" t="s">
        <v>659</v>
      </c>
      <c r="B13" s="1594" t="s">
        <v>673</v>
      </c>
      <c r="C13" s="1495" t="s">
        <v>135</v>
      </c>
      <c r="D13" s="1496" t="s">
        <v>680</v>
      </c>
      <c r="E13" s="1512">
        <v>683565.75</v>
      </c>
      <c r="F13" s="860">
        <v>2</v>
      </c>
      <c r="G13" s="1419" t="s">
        <v>217</v>
      </c>
      <c r="H13" s="1520">
        <f t="shared" si="0"/>
        <v>1367131.5</v>
      </c>
      <c r="I13" s="328" t="s">
        <v>519</v>
      </c>
    </row>
    <row r="14" spans="1:10" s="1334" customFormat="1" ht="30" x14ac:dyDescent="0.25">
      <c r="A14" s="1594"/>
      <c r="B14" s="1594"/>
      <c r="C14" s="1495" t="s">
        <v>310</v>
      </c>
      <c r="D14" s="1496" t="s">
        <v>679</v>
      </c>
      <c r="E14" s="1512">
        <v>30000000</v>
      </c>
      <c r="F14" s="860">
        <v>1</v>
      </c>
      <c r="G14" s="1502" t="s">
        <v>528</v>
      </c>
      <c r="H14" s="1520">
        <f t="shared" ref="H14" si="1">+E14*F14</f>
        <v>30000000</v>
      </c>
      <c r="I14" s="328" t="s">
        <v>477</v>
      </c>
    </row>
    <row r="15" spans="1:10" ht="45" x14ac:dyDescent="0.25">
      <c r="A15" s="1594"/>
      <c r="B15" s="1594"/>
      <c r="C15" s="1497" t="s">
        <v>311</v>
      </c>
      <c r="D15" s="328" t="s">
        <v>660</v>
      </c>
      <c r="E15" s="1513">
        <v>290000</v>
      </c>
      <c r="F15" s="1498">
        <v>1</v>
      </c>
      <c r="G15" s="1499" t="s">
        <v>194</v>
      </c>
      <c r="H15" s="1520">
        <f t="shared" si="0"/>
        <v>290000</v>
      </c>
      <c r="I15" s="1151" t="s">
        <v>478</v>
      </c>
      <c r="J15" s="1225"/>
    </row>
    <row r="16" spans="1:10" ht="30" x14ac:dyDescent="0.25">
      <c r="A16" s="1594"/>
      <c r="B16" s="1594"/>
      <c r="C16" s="1497" t="s">
        <v>312</v>
      </c>
      <c r="D16" s="1496" t="s">
        <v>679</v>
      </c>
      <c r="E16" s="1513">
        <v>230400</v>
      </c>
      <c r="F16" s="1220">
        <v>12</v>
      </c>
      <c r="G16" s="1419" t="s">
        <v>189</v>
      </c>
      <c r="H16" s="1520">
        <f t="shared" si="0"/>
        <v>2764800</v>
      </c>
      <c r="I16" s="328" t="s">
        <v>479</v>
      </c>
      <c r="J16" s="1225"/>
    </row>
    <row r="17" spans="1:11" ht="45" x14ac:dyDescent="0.25">
      <c r="A17" s="1594"/>
      <c r="B17" s="1594"/>
      <c r="C17" s="1497" t="s">
        <v>313</v>
      </c>
      <c r="D17" s="328" t="s">
        <v>660</v>
      </c>
      <c r="E17" s="1513">
        <v>400000</v>
      </c>
      <c r="F17" s="1220">
        <v>8</v>
      </c>
      <c r="G17" s="1419" t="s">
        <v>194</v>
      </c>
      <c r="H17" s="1520">
        <f t="shared" si="0"/>
        <v>3200000</v>
      </c>
      <c r="I17" s="328" t="s">
        <v>480</v>
      </c>
      <c r="J17" s="1225"/>
    </row>
    <row r="18" spans="1:11" ht="45" x14ac:dyDescent="0.25">
      <c r="A18" s="1594"/>
      <c r="B18" s="1594"/>
      <c r="C18" s="1497" t="s">
        <v>315</v>
      </c>
      <c r="D18" s="328" t="s">
        <v>660</v>
      </c>
      <c r="E18" s="1513">
        <v>110600</v>
      </c>
      <c r="F18" s="1220">
        <v>13</v>
      </c>
      <c r="G18" s="1419" t="s">
        <v>225</v>
      </c>
      <c r="H18" s="1520">
        <f t="shared" si="0"/>
        <v>1437800</v>
      </c>
      <c r="I18" s="328" t="s">
        <v>520</v>
      </c>
      <c r="J18" s="1225"/>
    </row>
    <row r="19" spans="1:11" ht="45" x14ac:dyDescent="0.25">
      <c r="A19" s="1594"/>
      <c r="B19" s="1594"/>
      <c r="C19" s="1497" t="s">
        <v>448</v>
      </c>
      <c r="D19" s="328" t="s">
        <v>660</v>
      </c>
      <c r="E19" s="1513">
        <v>750000</v>
      </c>
      <c r="F19" s="1220">
        <v>3</v>
      </c>
      <c r="G19" s="1419" t="s">
        <v>225</v>
      </c>
      <c r="H19" s="1520">
        <f t="shared" si="0"/>
        <v>2250000</v>
      </c>
      <c r="I19" s="328" t="s">
        <v>521</v>
      </c>
      <c r="J19" s="1225"/>
    </row>
    <row r="20" spans="1:11" ht="45" x14ac:dyDescent="0.25">
      <c r="A20" s="1594"/>
      <c r="B20" s="1594"/>
      <c r="C20" s="1497" t="s">
        <v>593</v>
      </c>
      <c r="D20" s="328" t="s">
        <v>660</v>
      </c>
      <c r="E20" s="1513">
        <v>800000</v>
      </c>
      <c r="F20" s="1220">
        <v>8</v>
      </c>
      <c r="G20" s="1419" t="s">
        <v>225</v>
      </c>
      <c r="H20" s="1520">
        <f t="shared" si="0"/>
        <v>6400000</v>
      </c>
      <c r="I20" s="328" t="s">
        <v>522</v>
      </c>
      <c r="J20" s="1225"/>
    </row>
    <row r="21" spans="1:11" ht="45" x14ac:dyDescent="0.25">
      <c r="A21" s="1594"/>
      <c r="B21" s="1594"/>
      <c r="C21" s="1497" t="s">
        <v>316</v>
      </c>
      <c r="D21" s="328" t="s">
        <v>660</v>
      </c>
      <c r="E21" s="1513">
        <v>120000</v>
      </c>
      <c r="F21" s="1220">
        <v>3</v>
      </c>
      <c r="G21" s="1419" t="s">
        <v>430</v>
      </c>
      <c r="H21" s="1520">
        <f t="shared" si="0"/>
        <v>360000</v>
      </c>
      <c r="I21" s="328" t="s">
        <v>481</v>
      </c>
      <c r="J21" s="1225"/>
    </row>
    <row r="22" spans="1:11" ht="45" x14ac:dyDescent="0.25">
      <c r="A22" s="1594"/>
      <c r="B22" s="1594"/>
      <c r="C22" s="1497" t="s">
        <v>337</v>
      </c>
      <c r="D22" s="328" t="s">
        <v>660</v>
      </c>
      <c r="E22" s="1513">
        <v>220000</v>
      </c>
      <c r="F22" s="1220">
        <v>2</v>
      </c>
      <c r="G22" s="1419" t="s">
        <v>338</v>
      </c>
      <c r="H22" s="1520">
        <f t="shared" si="0"/>
        <v>440000</v>
      </c>
      <c r="I22" s="328" t="s">
        <v>482</v>
      </c>
      <c r="J22" s="1225"/>
    </row>
    <row r="23" spans="1:11" ht="45" x14ac:dyDescent="0.25">
      <c r="A23" s="1594"/>
      <c r="B23" s="1594"/>
      <c r="C23" s="1497" t="s">
        <v>446</v>
      </c>
      <c r="D23" s="328" t="s">
        <v>660</v>
      </c>
      <c r="E23" s="1513">
        <v>2400000</v>
      </c>
      <c r="F23" s="1220">
        <v>1</v>
      </c>
      <c r="G23" s="1419" t="s">
        <v>529</v>
      </c>
      <c r="H23" s="1520">
        <f t="shared" si="0"/>
        <v>2400000</v>
      </c>
      <c r="I23" s="328" t="s">
        <v>523</v>
      </c>
      <c r="J23" s="1225"/>
    </row>
    <row r="24" spans="1:11" ht="45" x14ac:dyDescent="0.25">
      <c r="A24" s="1594"/>
      <c r="B24" s="1594"/>
      <c r="C24" s="1497" t="s">
        <v>222</v>
      </c>
      <c r="D24" s="328" t="s">
        <v>660</v>
      </c>
      <c r="E24" s="1513">
        <v>1800000</v>
      </c>
      <c r="F24" s="1220">
        <v>2</v>
      </c>
      <c r="G24" s="1419" t="s">
        <v>529</v>
      </c>
      <c r="H24" s="1520">
        <f t="shared" si="0"/>
        <v>3600000</v>
      </c>
      <c r="I24" s="328" t="s">
        <v>483</v>
      </c>
      <c r="J24" s="1225"/>
    </row>
    <row r="25" spans="1:11" ht="45" x14ac:dyDescent="0.25">
      <c r="A25" s="1594"/>
      <c r="B25" s="1594"/>
      <c r="C25" s="1497" t="s">
        <v>447</v>
      </c>
      <c r="D25" s="328" t="s">
        <v>660</v>
      </c>
      <c r="E25" s="1513">
        <v>1525175.9999999998</v>
      </c>
      <c r="F25" s="1220">
        <v>1</v>
      </c>
      <c r="G25" s="1419" t="s">
        <v>194</v>
      </c>
      <c r="H25" s="1520">
        <f t="shared" si="0"/>
        <v>1525175.9999999998</v>
      </c>
      <c r="I25" s="328" t="s">
        <v>524</v>
      </c>
      <c r="J25" s="1225"/>
    </row>
    <row r="26" spans="1:11" ht="45" x14ac:dyDescent="0.25">
      <c r="A26" s="1594"/>
      <c r="B26" s="1594"/>
      <c r="C26" s="1497" t="s">
        <v>515</v>
      </c>
      <c r="D26" s="328" t="s">
        <v>660</v>
      </c>
      <c r="E26" s="1513">
        <v>1000000</v>
      </c>
      <c r="F26" s="1220">
        <v>1</v>
      </c>
      <c r="G26" s="1419" t="s">
        <v>514</v>
      </c>
      <c r="H26" s="1520">
        <f t="shared" si="0"/>
        <v>1000000</v>
      </c>
      <c r="I26" s="328" t="s">
        <v>606</v>
      </c>
      <c r="J26" s="1225"/>
    </row>
    <row r="27" spans="1:11" ht="45" x14ac:dyDescent="0.25">
      <c r="A27" s="1594"/>
      <c r="B27" s="1594"/>
      <c r="C27" s="1495" t="s">
        <v>334</v>
      </c>
      <c r="D27" s="1496" t="s">
        <v>660</v>
      </c>
      <c r="E27" s="1512">
        <v>30000</v>
      </c>
      <c r="F27" s="860">
        <v>1</v>
      </c>
      <c r="G27" s="1419" t="s">
        <v>194</v>
      </c>
      <c r="H27" s="1520">
        <f t="shared" si="0"/>
        <v>30000</v>
      </c>
      <c r="I27" s="328" t="s">
        <v>534</v>
      </c>
      <c r="J27" s="1225"/>
    </row>
    <row r="28" spans="1:11" ht="45" x14ac:dyDescent="0.25">
      <c r="A28" s="1594"/>
      <c r="B28" s="1594"/>
      <c r="C28" s="1497" t="s">
        <v>157</v>
      </c>
      <c r="D28" s="328" t="s">
        <v>665</v>
      </c>
      <c r="E28" s="1513">
        <v>10900</v>
      </c>
      <c r="F28" s="1220">
        <v>1000</v>
      </c>
      <c r="G28" s="1419" t="s">
        <v>196</v>
      </c>
      <c r="H28" s="1520">
        <f t="shared" si="0"/>
        <v>10900000</v>
      </c>
      <c r="I28" s="328" t="s">
        <v>485</v>
      </c>
      <c r="J28" s="1225"/>
    </row>
    <row r="29" spans="1:11" ht="45" x14ac:dyDescent="0.25">
      <c r="A29" s="1594"/>
      <c r="B29" s="1594"/>
      <c r="C29" s="1497" t="s">
        <v>319</v>
      </c>
      <c r="D29" s="328" t="s">
        <v>665</v>
      </c>
      <c r="E29" s="1513">
        <v>1450</v>
      </c>
      <c r="F29" s="1220">
        <v>1500</v>
      </c>
      <c r="G29" s="1419" t="s">
        <v>196</v>
      </c>
      <c r="H29" s="1520">
        <f t="shared" si="0"/>
        <v>2175000</v>
      </c>
      <c r="I29" s="328" t="s">
        <v>486</v>
      </c>
      <c r="J29" s="1225"/>
    </row>
    <row r="30" spans="1:11" ht="30" x14ac:dyDescent="0.25">
      <c r="A30" s="1594"/>
      <c r="B30" s="1594"/>
      <c r="C30" s="1497" t="s">
        <v>676</v>
      </c>
      <c r="D30" s="328" t="s">
        <v>665</v>
      </c>
      <c r="E30" s="1514">
        <v>1550</v>
      </c>
      <c r="F30" s="1220">
        <v>5000</v>
      </c>
      <c r="G30" s="1419" t="s">
        <v>196</v>
      </c>
      <c r="H30" s="1520">
        <f t="shared" si="0"/>
        <v>7750000</v>
      </c>
      <c r="I30" s="328" t="s">
        <v>487</v>
      </c>
      <c r="J30" s="1225"/>
      <c r="K30" s="1225"/>
    </row>
    <row r="31" spans="1:11" ht="30" x14ac:dyDescent="0.25">
      <c r="A31" s="1594"/>
      <c r="B31" s="1594"/>
      <c r="C31" s="1497" t="s">
        <v>321</v>
      </c>
      <c r="D31" s="1496" t="s">
        <v>679</v>
      </c>
      <c r="E31" s="1514">
        <v>10000</v>
      </c>
      <c r="F31" s="1220">
        <v>80</v>
      </c>
      <c r="G31" s="1419" t="s">
        <v>196</v>
      </c>
      <c r="H31" s="1520">
        <f t="shared" si="0"/>
        <v>800000</v>
      </c>
      <c r="I31" s="328" t="s">
        <v>488</v>
      </c>
      <c r="J31" s="1225"/>
      <c r="K31" s="1225"/>
    </row>
    <row r="32" spans="1:11" ht="75" x14ac:dyDescent="0.25">
      <c r="A32" s="1594"/>
      <c r="B32" s="1594"/>
      <c r="C32" s="1497" t="s">
        <v>330</v>
      </c>
      <c r="D32" s="328" t="s">
        <v>661</v>
      </c>
      <c r="E32" s="1514">
        <v>375000</v>
      </c>
      <c r="F32" s="1220">
        <v>9</v>
      </c>
      <c r="G32" s="1419" t="s">
        <v>224</v>
      </c>
      <c r="H32" s="1520">
        <f t="shared" si="0"/>
        <v>3375000</v>
      </c>
      <c r="I32" s="328" t="s">
        <v>471</v>
      </c>
      <c r="J32" s="1225"/>
      <c r="K32" s="1225"/>
    </row>
    <row r="33" spans="1:11" ht="45" x14ac:dyDescent="0.25">
      <c r="A33" s="1594"/>
      <c r="B33" s="1594"/>
      <c r="C33" s="1497" t="s">
        <v>675</v>
      </c>
      <c r="D33" s="328" t="s">
        <v>662</v>
      </c>
      <c r="E33" s="1514">
        <v>335040</v>
      </c>
      <c r="F33" s="1220">
        <v>1</v>
      </c>
      <c r="G33" s="1419" t="s">
        <v>194</v>
      </c>
      <c r="H33" s="1520">
        <f t="shared" si="0"/>
        <v>335040</v>
      </c>
      <c r="I33" s="328" t="s">
        <v>333</v>
      </c>
      <c r="J33" s="1225"/>
      <c r="K33" s="1225"/>
    </row>
    <row r="34" spans="1:11" ht="30" x14ac:dyDescent="0.25">
      <c r="A34" s="1590" t="s">
        <v>663</v>
      </c>
      <c r="B34" s="1590" t="s">
        <v>670</v>
      </c>
      <c r="C34" s="1500" t="s">
        <v>610</v>
      </c>
      <c r="D34" s="328" t="s">
        <v>678</v>
      </c>
      <c r="E34" s="1515">
        <v>600000</v>
      </c>
      <c r="F34" s="701">
        <v>12</v>
      </c>
      <c r="G34" s="701" t="s">
        <v>189</v>
      </c>
      <c r="H34" s="1520">
        <f t="shared" si="0"/>
        <v>7200000</v>
      </c>
      <c r="I34" s="1501" t="s">
        <v>611</v>
      </c>
    </row>
    <row r="35" spans="1:11" ht="45" x14ac:dyDescent="0.25">
      <c r="A35" s="1591"/>
      <c r="B35" s="1591"/>
      <c r="C35" s="1500" t="s">
        <v>355</v>
      </c>
      <c r="D35" s="328" t="s">
        <v>660</v>
      </c>
      <c r="E35" s="1515">
        <v>290000</v>
      </c>
      <c r="F35" s="701">
        <v>1</v>
      </c>
      <c r="G35" s="701" t="s">
        <v>356</v>
      </c>
      <c r="H35" s="1520">
        <f t="shared" si="0"/>
        <v>290000</v>
      </c>
      <c r="I35" s="1501" t="s">
        <v>612</v>
      </c>
    </row>
    <row r="36" spans="1:11" ht="45" x14ac:dyDescent="0.25">
      <c r="A36" s="1591"/>
      <c r="B36" s="1591"/>
      <c r="C36" s="1500" t="s">
        <v>593</v>
      </c>
      <c r="D36" s="328" t="s">
        <v>660</v>
      </c>
      <c r="E36" s="1515">
        <v>800000</v>
      </c>
      <c r="F36" s="701">
        <v>1</v>
      </c>
      <c r="G36" s="701" t="s">
        <v>225</v>
      </c>
      <c r="H36" s="1520">
        <f t="shared" si="0"/>
        <v>800000</v>
      </c>
      <c r="I36" s="1501" t="s">
        <v>613</v>
      </c>
    </row>
    <row r="37" spans="1:11" ht="45" x14ac:dyDescent="0.25">
      <c r="A37" s="1591"/>
      <c r="B37" s="1591"/>
      <c r="C37" s="1500" t="s">
        <v>353</v>
      </c>
      <c r="D37" s="328" t="s">
        <v>660</v>
      </c>
      <c r="E37" s="1515">
        <v>110600</v>
      </c>
      <c r="F37" s="701">
        <v>2</v>
      </c>
      <c r="G37" s="701" t="s">
        <v>225</v>
      </c>
      <c r="H37" s="1520">
        <f t="shared" si="0"/>
        <v>221200</v>
      </c>
      <c r="I37" s="1501" t="s">
        <v>354</v>
      </c>
    </row>
    <row r="38" spans="1:11" ht="45" x14ac:dyDescent="0.25">
      <c r="A38" s="1591"/>
      <c r="B38" s="1591"/>
      <c r="C38" s="1500" t="s">
        <v>346</v>
      </c>
      <c r="D38" s="328" t="s">
        <v>660</v>
      </c>
      <c r="E38" s="1515">
        <v>120000</v>
      </c>
      <c r="F38" s="701">
        <v>1</v>
      </c>
      <c r="G38" s="701" t="s">
        <v>347</v>
      </c>
      <c r="H38" s="1520">
        <f t="shared" si="0"/>
        <v>120000</v>
      </c>
      <c r="I38" s="1501" t="s">
        <v>348</v>
      </c>
    </row>
    <row r="39" spans="1:11" ht="45" x14ac:dyDescent="0.25">
      <c r="A39" s="1591"/>
      <c r="B39" s="1591"/>
      <c r="C39" s="1500" t="s">
        <v>351</v>
      </c>
      <c r="D39" s="328" t="s">
        <v>665</v>
      </c>
      <c r="E39" s="1515">
        <v>4000</v>
      </c>
      <c r="F39" s="701">
        <v>1000</v>
      </c>
      <c r="G39" s="701" t="s">
        <v>196</v>
      </c>
      <c r="H39" s="1520">
        <f t="shared" si="0"/>
        <v>4000000</v>
      </c>
      <c r="I39" s="1501" t="s">
        <v>352</v>
      </c>
    </row>
    <row r="40" spans="1:11" ht="45" x14ac:dyDescent="0.25">
      <c r="A40" s="1592"/>
      <c r="B40" s="1592"/>
      <c r="C40" s="1500" t="s">
        <v>334</v>
      </c>
      <c r="D40" s="328" t="s">
        <v>660</v>
      </c>
      <c r="E40" s="1515">
        <v>30000</v>
      </c>
      <c r="F40" s="701">
        <v>1</v>
      </c>
      <c r="G40" s="701" t="s">
        <v>194</v>
      </c>
      <c r="H40" s="1520">
        <f t="shared" si="0"/>
        <v>30000</v>
      </c>
      <c r="I40" s="1501" t="s">
        <v>534</v>
      </c>
    </row>
    <row r="41" spans="1:11" ht="30" x14ac:dyDescent="0.25">
      <c r="A41" s="1583" t="s">
        <v>664</v>
      </c>
      <c r="B41" s="1583" t="s">
        <v>671</v>
      </c>
      <c r="C41" s="1495" t="s">
        <v>135</v>
      </c>
      <c r="D41" s="1496" t="s">
        <v>680</v>
      </c>
      <c r="E41" s="1512">
        <v>227855.25</v>
      </c>
      <c r="F41" s="860">
        <v>3</v>
      </c>
      <c r="G41" s="1419" t="s">
        <v>192</v>
      </c>
      <c r="H41" s="1520">
        <f t="shared" si="0"/>
        <v>683565.75</v>
      </c>
      <c r="I41" s="328" t="s">
        <v>463</v>
      </c>
      <c r="J41" s="1225"/>
    </row>
    <row r="42" spans="1:11" ht="45" x14ac:dyDescent="0.25">
      <c r="A42" s="1583"/>
      <c r="B42" s="1583"/>
      <c r="C42" s="1495" t="s">
        <v>345</v>
      </c>
      <c r="D42" s="328" t="s">
        <v>660</v>
      </c>
      <c r="E42" s="1512">
        <v>110600</v>
      </c>
      <c r="F42" s="860">
        <v>2</v>
      </c>
      <c r="G42" s="1502" t="s">
        <v>225</v>
      </c>
      <c r="H42" s="1520">
        <f t="shared" ref="H42" si="2">+E42*F42</f>
        <v>221200</v>
      </c>
      <c r="I42" s="328" t="s">
        <v>428</v>
      </c>
      <c r="J42" s="1225"/>
    </row>
    <row r="43" spans="1:11" ht="45" x14ac:dyDescent="0.25">
      <c r="A43" s="1583"/>
      <c r="B43" s="1583"/>
      <c r="C43" s="1503" t="s">
        <v>429</v>
      </c>
      <c r="D43" s="1504" t="s">
        <v>660</v>
      </c>
      <c r="E43" s="1516">
        <v>120000</v>
      </c>
      <c r="F43" s="1220">
        <v>2</v>
      </c>
      <c r="G43" s="1419" t="s">
        <v>430</v>
      </c>
      <c r="H43" s="1520">
        <f t="shared" si="0"/>
        <v>240000</v>
      </c>
      <c r="I43" s="1505" t="s">
        <v>622</v>
      </c>
    </row>
    <row r="44" spans="1:11" ht="45" x14ac:dyDescent="0.25">
      <c r="A44" s="1583"/>
      <c r="B44" s="1583"/>
      <c r="C44" s="1497" t="s">
        <v>593</v>
      </c>
      <c r="D44" s="328" t="s">
        <v>660</v>
      </c>
      <c r="E44" s="1516">
        <v>800000</v>
      </c>
      <c r="F44" s="1220">
        <v>2</v>
      </c>
      <c r="G44" s="1419" t="s">
        <v>225</v>
      </c>
      <c r="H44" s="1520">
        <f t="shared" si="0"/>
        <v>1600000</v>
      </c>
      <c r="I44" s="1505" t="s">
        <v>426</v>
      </c>
    </row>
    <row r="45" spans="1:11" ht="45" x14ac:dyDescent="0.25">
      <c r="A45" s="1583"/>
      <c r="B45" s="1583"/>
      <c r="C45" s="1506" t="s">
        <v>515</v>
      </c>
      <c r="D45" s="328" t="s">
        <v>660</v>
      </c>
      <c r="E45" s="1516">
        <v>1000000</v>
      </c>
      <c r="F45" s="1220">
        <v>1</v>
      </c>
      <c r="G45" s="1419" t="s">
        <v>514</v>
      </c>
      <c r="H45" s="1520">
        <f t="shared" si="0"/>
        <v>1000000</v>
      </c>
      <c r="I45" s="1505" t="s">
        <v>606</v>
      </c>
    </row>
    <row r="46" spans="1:11" ht="45" x14ac:dyDescent="0.25">
      <c r="A46" s="1583"/>
      <c r="B46" s="1583"/>
      <c r="C46" s="1495" t="s">
        <v>334</v>
      </c>
      <c r="D46" s="1496" t="s">
        <v>660</v>
      </c>
      <c r="E46" s="1512">
        <v>30000</v>
      </c>
      <c r="F46" s="1337">
        <v>1</v>
      </c>
      <c r="G46" s="338" t="s">
        <v>224</v>
      </c>
      <c r="H46" s="1520">
        <f t="shared" si="0"/>
        <v>30000</v>
      </c>
      <c r="I46" s="1505" t="s">
        <v>509</v>
      </c>
    </row>
    <row r="47" spans="1:11" ht="45" x14ac:dyDescent="0.25">
      <c r="A47" s="1583" t="s">
        <v>666</v>
      </c>
      <c r="B47" s="1583" t="s">
        <v>672</v>
      </c>
      <c r="C47" s="1507" t="s">
        <v>378</v>
      </c>
      <c r="D47" s="328" t="s">
        <v>660</v>
      </c>
      <c r="E47" s="1517">
        <v>300000</v>
      </c>
      <c r="F47" s="1220">
        <v>1</v>
      </c>
      <c r="G47" s="1419" t="s">
        <v>379</v>
      </c>
      <c r="H47" s="1520">
        <f t="shared" si="0"/>
        <v>300000</v>
      </c>
      <c r="I47" s="1508" t="s">
        <v>503</v>
      </c>
    </row>
    <row r="48" spans="1:11" ht="45" x14ac:dyDescent="0.25">
      <c r="A48" s="1583"/>
      <c r="B48" s="1583"/>
      <c r="C48" s="1507" t="s">
        <v>380</v>
      </c>
      <c r="D48" s="328" t="s">
        <v>660</v>
      </c>
      <c r="E48" s="1517">
        <v>4000000</v>
      </c>
      <c r="F48" s="1220">
        <v>1</v>
      </c>
      <c r="G48" s="1419" t="s">
        <v>379</v>
      </c>
      <c r="H48" s="1520">
        <f t="shared" si="0"/>
        <v>4000000</v>
      </c>
      <c r="I48" s="1508" t="s">
        <v>632</v>
      </c>
    </row>
    <row r="49" spans="1:9" ht="45" x14ac:dyDescent="0.25">
      <c r="A49" s="1583"/>
      <c r="B49" s="1583"/>
      <c r="C49" s="1507" t="s">
        <v>334</v>
      </c>
      <c r="D49" s="328" t="s">
        <v>660</v>
      </c>
      <c r="E49" s="1517">
        <v>30000</v>
      </c>
      <c r="F49" s="1220">
        <v>1</v>
      </c>
      <c r="G49" s="1419" t="s">
        <v>194</v>
      </c>
      <c r="H49" s="1520">
        <f t="shared" si="0"/>
        <v>30000</v>
      </c>
      <c r="I49" s="1508" t="s">
        <v>504</v>
      </c>
    </row>
    <row r="50" spans="1:9" ht="45" x14ac:dyDescent="0.25">
      <c r="A50" s="1583"/>
      <c r="B50" s="1583"/>
      <c r="C50" s="1507" t="s">
        <v>366</v>
      </c>
      <c r="D50" s="328" t="s">
        <v>677</v>
      </c>
      <c r="E50" s="1517">
        <v>70000</v>
      </c>
      <c r="F50" s="1220">
        <v>1</v>
      </c>
      <c r="G50" s="1419" t="s">
        <v>196</v>
      </c>
      <c r="H50" s="1520">
        <f>+E50*F50*11</f>
        <v>770000</v>
      </c>
      <c r="I50" s="1508" t="s">
        <v>646</v>
      </c>
    </row>
    <row r="51" spans="1:9" ht="45" x14ac:dyDescent="0.25">
      <c r="A51" s="1583"/>
      <c r="B51" s="1583"/>
      <c r="C51" s="1507" t="s">
        <v>367</v>
      </c>
      <c r="D51" s="328" t="s">
        <v>677</v>
      </c>
      <c r="E51" s="1517">
        <v>2900</v>
      </c>
      <c r="F51" s="1220">
        <v>300</v>
      </c>
      <c r="G51" s="1419" t="s">
        <v>196</v>
      </c>
      <c r="H51" s="1520">
        <f>+E51*F51*11</f>
        <v>9570000</v>
      </c>
      <c r="I51" s="1508" t="s">
        <v>647</v>
      </c>
    </row>
    <row r="52" spans="1:9" ht="30.75" thickBot="1" x14ac:dyDescent="0.3">
      <c r="A52" s="1583"/>
      <c r="B52" s="1583"/>
      <c r="C52" s="1507" t="s">
        <v>648</v>
      </c>
      <c r="D52" s="328" t="s">
        <v>665</v>
      </c>
      <c r="E52" s="1517">
        <v>1800</v>
      </c>
      <c r="F52" s="1220">
        <v>10000</v>
      </c>
      <c r="G52" s="1419" t="s">
        <v>506</v>
      </c>
      <c r="H52" s="1520">
        <f t="shared" si="0"/>
        <v>18000000</v>
      </c>
      <c r="I52" s="1508" t="s">
        <v>505</v>
      </c>
    </row>
    <row r="53" spans="1:9" ht="18.75" thickBot="1" x14ac:dyDescent="0.3">
      <c r="A53" s="1584" t="s">
        <v>667</v>
      </c>
      <c r="B53" s="1585"/>
      <c r="C53" s="1585"/>
      <c r="D53" s="1585"/>
      <c r="E53" s="1585"/>
      <c r="F53" s="1585"/>
      <c r="G53" s="1586"/>
      <c r="H53" s="1521">
        <f>SUM(H6:H52)</f>
        <v>138847113.25</v>
      </c>
      <c r="I53" s="1509"/>
    </row>
    <row r="58" spans="1:9" x14ac:dyDescent="0.25">
      <c r="I58" s="1277"/>
    </row>
  </sheetData>
  <autoFilter ref="A4:I53" xr:uid="{11EA71D5-9FFC-4B5A-8FE3-6F5108B9D7C5}"/>
  <mergeCells count="13">
    <mergeCell ref="A1:I1"/>
    <mergeCell ref="A2:I2"/>
    <mergeCell ref="A13:A33"/>
    <mergeCell ref="B13:B33"/>
    <mergeCell ref="A41:A46"/>
    <mergeCell ref="B41:B46"/>
    <mergeCell ref="A5:A12"/>
    <mergeCell ref="B5:B12"/>
    <mergeCell ref="A47:A52"/>
    <mergeCell ref="B47:B52"/>
    <mergeCell ref="A53:G53"/>
    <mergeCell ref="A34:A40"/>
    <mergeCell ref="B34:B40"/>
  </mergeCells>
  <pageMargins left="0.39370078740157483" right="0.19685039370078741" top="0.39370078740157483" bottom="0.19685039370078741" header="0.31496062992125984" footer="0.31496062992125984"/>
  <pageSetup scale="57" fitToHeight="3" orientation="landscape"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topLeftCell="A4" zoomScale="90" zoomScaleNormal="90" workbookViewId="0">
      <pane ySplit="5" topLeftCell="A9" activePane="bottomLeft" state="frozen"/>
      <selection activeCell="F13" sqref="F13:H15"/>
      <selection pane="bottomLeft" activeCell="F13" sqref="F13:H15"/>
    </sheetView>
  </sheetViews>
  <sheetFormatPr baseColWidth="10" defaultRowHeight="14.25" x14ac:dyDescent="0.2"/>
  <cols>
    <col min="1" max="1" width="43.140625" style="196" customWidth="1"/>
    <col min="2" max="2" width="16.7109375" style="228" customWidth="1"/>
    <col min="3" max="3" width="15.7109375" style="228" customWidth="1"/>
    <col min="4" max="4" width="23.140625" style="228" customWidth="1"/>
    <col min="5" max="5" width="21.7109375" style="228" customWidth="1"/>
    <col min="6" max="6" width="19" style="228" customWidth="1"/>
    <col min="7" max="7" width="22.7109375" style="228" customWidth="1"/>
    <col min="8" max="8" width="18.7109375" style="228" bestFit="1" customWidth="1"/>
    <col min="9" max="9" width="11.28515625" style="230" customWidth="1"/>
    <col min="10" max="10" width="12.140625" style="195" bestFit="1" customWidth="1"/>
    <col min="11" max="11" width="18" style="195" bestFit="1" customWidth="1"/>
    <col min="12" max="12" width="12.28515625" style="195" bestFit="1" customWidth="1"/>
    <col min="13" max="257" width="11.5703125" style="195"/>
    <col min="258" max="258" width="33.140625" style="195" bestFit="1" customWidth="1"/>
    <col min="259" max="259" width="9.85546875" style="195" customWidth="1"/>
    <col min="260" max="260" width="9.5703125" style="195" customWidth="1"/>
    <col min="261" max="261" width="9.42578125" style="195" customWidth="1"/>
    <col min="262" max="262" width="8.42578125" style="195" customWidth="1"/>
    <col min="263" max="263" width="14" style="195" bestFit="1" customWidth="1"/>
    <col min="264" max="264" width="9.5703125" style="195" bestFit="1" customWidth="1"/>
    <col min="265" max="265" width="5.140625" style="195" bestFit="1" customWidth="1"/>
    <col min="266" max="513" width="11.5703125" style="195"/>
    <col min="514" max="514" width="33.140625" style="195" bestFit="1" customWidth="1"/>
    <col min="515" max="515" width="9.85546875" style="195" customWidth="1"/>
    <col min="516" max="516" width="9.5703125" style="195" customWidth="1"/>
    <col min="517" max="517" width="9.42578125" style="195" customWidth="1"/>
    <col min="518" max="518" width="8.42578125" style="195" customWidth="1"/>
    <col min="519" max="519" width="14" style="195" bestFit="1" customWidth="1"/>
    <col min="520" max="520" width="9.5703125" style="195" bestFit="1" customWidth="1"/>
    <col min="521" max="521" width="5.140625" style="195" bestFit="1" customWidth="1"/>
    <col min="522" max="769" width="11.5703125" style="195"/>
    <col min="770" max="770" width="33.140625" style="195" bestFit="1" customWidth="1"/>
    <col min="771" max="771" width="9.85546875" style="195" customWidth="1"/>
    <col min="772" max="772" width="9.5703125" style="195" customWidth="1"/>
    <col min="773" max="773" width="9.42578125" style="195" customWidth="1"/>
    <col min="774" max="774" width="8.42578125" style="195" customWidth="1"/>
    <col min="775" max="775" width="14" style="195" bestFit="1" customWidth="1"/>
    <col min="776" max="776" width="9.5703125" style="195" bestFit="1" customWidth="1"/>
    <col min="777" max="777" width="5.140625" style="195" bestFit="1" customWidth="1"/>
    <col min="778" max="1025" width="11.5703125" style="195"/>
    <col min="1026" max="1026" width="33.140625" style="195" bestFit="1" customWidth="1"/>
    <col min="1027" max="1027" width="9.85546875" style="195" customWidth="1"/>
    <col min="1028" max="1028" width="9.5703125" style="195" customWidth="1"/>
    <col min="1029" max="1029" width="9.42578125" style="195" customWidth="1"/>
    <col min="1030" max="1030" width="8.42578125" style="195" customWidth="1"/>
    <col min="1031" max="1031" width="14" style="195" bestFit="1" customWidth="1"/>
    <col min="1032" max="1032" width="9.5703125" style="195" bestFit="1" customWidth="1"/>
    <col min="1033" max="1033" width="5.140625" style="195" bestFit="1" customWidth="1"/>
    <col min="1034" max="1281" width="11.5703125" style="195"/>
    <col min="1282" max="1282" width="33.140625" style="195" bestFit="1" customWidth="1"/>
    <col min="1283" max="1283" width="9.85546875" style="195" customWidth="1"/>
    <col min="1284" max="1284" width="9.5703125" style="195" customWidth="1"/>
    <col min="1285" max="1285" width="9.42578125" style="195" customWidth="1"/>
    <col min="1286" max="1286" width="8.42578125" style="195" customWidth="1"/>
    <col min="1287" max="1287" width="14" style="195" bestFit="1" customWidth="1"/>
    <col min="1288" max="1288" width="9.5703125" style="195" bestFit="1" customWidth="1"/>
    <col min="1289" max="1289" width="5.140625" style="195" bestFit="1" customWidth="1"/>
    <col min="1290" max="1537" width="11.5703125" style="195"/>
    <col min="1538" max="1538" width="33.140625" style="195" bestFit="1" customWidth="1"/>
    <col min="1539" max="1539" width="9.85546875" style="195" customWidth="1"/>
    <col min="1540" max="1540" width="9.5703125" style="195" customWidth="1"/>
    <col min="1541" max="1541" width="9.42578125" style="195" customWidth="1"/>
    <col min="1542" max="1542" width="8.42578125" style="195" customWidth="1"/>
    <col min="1543" max="1543" width="14" style="195" bestFit="1" customWidth="1"/>
    <col min="1544" max="1544" width="9.5703125" style="195" bestFit="1" customWidth="1"/>
    <col min="1545" max="1545" width="5.140625" style="195" bestFit="1" customWidth="1"/>
    <col min="1546" max="1793" width="11.5703125" style="195"/>
    <col min="1794" max="1794" width="33.140625" style="195" bestFit="1" customWidth="1"/>
    <col min="1795" max="1795" width="9.85546875" style="195" customWidth="1"/>
    <col min="1796" max="1796" width="9.5703125" style="195" customWidth="1"/>
    <col min="1797" max="1797" width="9.42578125" style="195" customWidth="1"/>
    <col min="1798" max="1798" width="8.42578125" style="195" customWidth="1"/>
    <col min="1799" max="1799" width="14" style="195" bestFit="1" customWidth="1"/>
    <col min="1800" max="1800" width="9.5703125" style="195" bestFit="1" customWidth="1"/>
    <col min="1801" max="1801" width="5.140625" style="195" bestFit="1" customWidth="1"/>
    <col min="1802" max="2049" width="11.5703125" style="195"/>
    <col min="2050" max="2050" width="33.140625" style="195" bestFit="1" customWidth="1"/>
    <col min="2051" max="2051" width="9.85546875" style="195" customWidth="1"/>
    <col min="2052" max="2052" width="9.5703125" style="195" customWidth="1"/>
    <col min="2053" max="2053" width="9.42578125" style="195" customWidth="1"/>
    <col min="2054" max="2054" width="8.42578125" style="195" customWidth="1"/>
    <col min="2055" max="2055" width="14" style="195" bestFit="1" customWidth="1"/>
    <col min="2056" max="2056" width="9.5703125" style="195" bestFit="1" customWidth="1"/>
    <col min="2057" max="2057" width="5.140625" style="195" bestFit="1" customWidth="1"/>
    <col min="2058" max="2305" width="11.5703125" style="195"/>
    <col min="2306" max="2306" width="33.140625" style="195" bestFit="1" customWidth="1"/>
    <col min="2307" max="2307" width="9.85546875" style="195" customWidth="1"/>
    <col min="2308" max="2308" width="9.5703125" style="195" customWidth="1"/>
    <col min="2309" max="2309" width="9.42578125" style="195" customWidth="1"/>
    <col min="2310" max="2310" width="8.42578125" style="195" customWidth="1"/>
    <col min="2311" max="2311" width="14" style="195" bestFit="1" customWidth="1"/>
    <col min="2312" max="2312" width="9.5703125" style="195" bestFit="1" customWidth="1"/>
    <col min="2313" max="2313" width="5.140625" style="195" bestFit="1" customWidth="1"/>
    <col min="2314" max="2561" width="11.5703125" style="195"/>
    <col min="2562" max="2562" width="33.140625" style="195" bestFit="1" customWidth="1"/>
    <col min="2563" max="2563" width="9.85546875" style="195" customWidth="1"/>
    <col min="2564" max="2564" width="9.5703125" style="195" customWidth="1"/>
    <col min="2565" max="2565" width="9.42578125" style="195" customWidth="1"/>
    <col min="2566" max="2566" width="8.42578125" style="195" customWidth="1"/>
    <col min="2567" max="2567" width="14" style="195" bestFit="1" customWidth="1"/>
    <col min="2568" max="2568" width="9.5703125" style="195" bestFit="1" customWidth="1"/>
    <col min="2569" max="2569" width="5.140625" style="195" bestFit="1" customWidth="1"/>
    <col min="2570" max="2817" width="11.5703125" style="195"/>
    <col min="2818" max="2818" width="33.140625" style="195" bestFit="1" customWidth="1"/>
    <col min="2819" max="2819" width="9.85546875" style="195" customWidth="1"/>
    <col min="2820" max="2820" width="9.5703125" style="195" customWidth="1"/>
    <col min="2821" max="2821" width="9.42578125" style="195" customWidth="1"/>
    <col min="2822" max="2822" width="8.42578125" style="195" customWidth="1"/>
    <col min="2823" max="2823" width="14" style="195" bestFit="1" customWidth="1"/>
    <col min="2824" max="2824" width="9.5703125" style="195" bestFit="1" customWidth="1"/>
    <col min="2825" max="2825" width="5.140625" style="195" bestFit="1" customWidth="1"/>
    <col min="2826" max="3073" width="11.5703125" style="195"/>
    <col min="3074" max="3074" width="33.140625" style="195" bestFit="1" customWidth="1"/>
    <col min="3075" max="3075" width="9.85546875" style="195" customWidth="1"/>
    <col min="3076" max="3076" width="9.5703125" style="195" customWidth="1"/>
    <col min="3077" max="3077" width="9.42578125" style="195" customWidth="1"/>
    <col min="3078" max="3078" width="8.42578125" style="195" customWidth="1"/>
    <col min="3079" max="3079" width="14" style="195" bestFit="1" customWidth="1"/>
    <col min="3080" max="3080" width="9.5703125" style="195" bestFit="1" customWidth="1"/>
    <col min="3081" max="3081" width="5.140625" style="195" bestFit="1" customWidth="1"/>
    <col min="3082" max="3329" width="11.5703125" style="195"/>
    <col min="3330" max="3330" width="33.140625" style="195" bestFit="1" customWidth="1"/>
    <col min="3331" max="3331" width="9.85546875" style="195" customWidth="1"/>
    <col min="3332" max="3332" width="9.5703125" style="195" customWidth="1"/>
    <col min="3333" max="3333" width="9.42578125" style="195" customWidth="1"/>
    <col min="3334" max="3334" width="8.42578125" style="195" customWidth="1"/>
    <col min="3335" max="3335" width="14" style="195" bestFit="1" customWidth="1"/>
    <col min="3336" max="3336" width="9.5703125" style="195" bestFit="1" customWidth="1"/>
    <col min="3337" max="3337" width="5.140625" style="195" bestFit="1" customWidth="1"/>
    <col min="3338" max="3585" width="11.5703125" style="195"/>
    <col min="3586" max="3586" width="33.140625" style="195" bestFit="1" customWidth="1"/>
    <col min="3587" max="3587" width="9.85546875" style="195" customWidth="1"/>
    <col min="3588" max="3588" width="9.5703125" style="195" customWidth="1"/>
    <col min="3589" max="3589" width="9.42578125" style="195" customWidth="1"/>
    <col min="3590" max="3590" width="8.42578125" style="195" customWidth="1"/>
    <col min="3591" max="3591" width="14" style="195" bestFit="1" customWidth="1"/>
    <col min="3592" max="3592" width="9.5703125" style="195" bestFit="1" customWidth="1"/>
    <col min="3593" max="3593" width="5.140625" style="195" bestFit="1" customWidth="1"/>
    <col min="3594" max="3841" width="11.5703125" style="195"/>
    <col min="3842" max="3842" width="33.140625" style="195" bestFit="1" customWidth="1"/>
    <col min="3843" max="3843" width="9.85546875" style="195" customWidth="1"/>
    <col min="3844" max="3844" width="9.5703125" style="195" customWidth="1"/>
    <col min="3845" max="3845" width="9.42578125" style="195" customWidth="1"/>
    <col min="3846" max="3846" width="8.42578125" style="195" customWidth="1"/>
    <col min="3847" max="3847" width="14" style="195" bestFit="1" customWidth="1"/>
    <col min="3848" max="3848" width="9.5703125" style="195" bestFit="1" customWidth="1"/>
    <col min="3849" max="3849" width="5.140625" style="195" bestFit="1" customWidth="1"/>
    <col min="3850" max="4097" width="11.5703125" style="195"/>
    <col min="4098" max="4098" width="33.140625" style="195" bestFit="1" customWidth="1"/>
    <col min="4099" max="4099" width="9.85546875" style="195" customWidth="1"/>
    <col min="4100" max="4100" width="9.5703125" style="195" customWidth="1"/>
    <col min="4101" max="4101" width="9.42578125" style="195" customWidth="1"/>
    <col min="4102" max="4102" width="8.42578125" style="195" customWidth="1"/>
    <col min="4103" max="4103" width="14" style="195" bestFit="1" customWidth="1"/>
    <col min="4104" max="4104" width="9.5703125" style="195" bestFit="1" customWidth="1"/>
    <col min="4105" max="4105" width="5.140625" style="195" bestFit="1" customWidth="1"/>
    <col min="4106" max="4353" width="11.5703125" style="195"/>
    <col min="4354" max="4354" width="33.140625" style="195" bestFit="1" customWidth="1"/>
    <col min="4355" max="4355" width="9.85546875" style="195" customWidth="1"/>
    <col min="4356" max="4356" width="9.5703125" style="195" customWidth="1"/>
    <col min="4357" max="4357" width="9.42578125" style="195" customWidth="1"/>
    <col min="4358" max="4358" width="8.42578125" style="195" customWidth="1"/>
    <col min="4359" max="4359" width="14" style="195" bestFit="1" customWidth="1"/>
    <col min="4360" max="4360" width="9.5703125" style="195" bestFit="1" customWidth="1"/>
    <col min="4361" max="4361" width="5.140625" style="195" bestFit="1" customWidth="1"/>
    <col min="4362" max="4609" width="11.5703125" style="195"/>
    <col min="4610" max="4610" width="33.140625" style="195" bestFit="1" customWidth="1"/>
    <col min="4611" max="4611" width="9.85546875" style="195" customWidth="1"/>
    <col min="4612" max="4612" width="9.5703125" style="195" customWidth="1"/>
    <col min="4613" max="4613" width="9.42578125" style="195" customWidth="1"/>
    <col min="4614" max="4614" width="8.42578125" style="195" customWidth="1"/>
    <col min="4615" max="4615" width="14" style="195" bestFit="1" customWidth="1"/>
    <col min="4616" max="4616" width="9.5703125" style="195" bestFit="1" customWidth="1"/>
    <col min="4617" max="4617" width="5.140625" style="195" bestFit="1" customWidth="1"/>
    <col min="4618" max="4865" width="11.5703125" style="195"/>
    <col min="4866" max="4866" width="33.140625" style="195" bestFit="1" customWidth="1"/>
    <col min="4867" max="4867" width="9.85546875" style="195" customWidth="1"/>
    <col min="4868" max="4868" width="9.5703125" style="195" customWidth="1"/>
    <col min="4869" max="4869" width="9.42578125" style="195" customWidth="1"/>
    <col min="4870" max="4870" width="8.42578125" style="195" customWidth="1"/>
    <col min="4871" max="4871" width="14" style="195" bestFit="1" customWidth="1"/>
    <col min="4872" max="4872" width="9.5703125" style="195" bestFit="1" customWidth="1"/>
    <col min="4873" max="4873" width="5.140625" style="195" bestFit="1" customWidth="1"/>
    <col min="4874" max="5121" width="11.5703125" style="195"/>
    <col min="5122" max="5122" width="33.140625" style="195" bestFit="1" customWidth="1"/>
    <col min="5123" max="5123" width="9.85546875" style="195" customWidth="1"/>
    <col min="5124" max="5124" width="9.5703125" style="195" customWidth="1"/>
    <col min="5125" max="5125" width="9.42578125" style="195" customWidth="1"/>
    <col min="5126" max="5126" width="8.42578125" style="195" customWidth="1"/>
    <col min="5127" max="5127" width="14" style="195" bestFit="1" customWidth="1"/>
    <col min="5128" max="5128" width="9.5703125" style="195" bestFit="1" customWidth="1"/>
    <col min="5129" max="5129" width="5.140625" style="195" bestFit="1" customWidth="1"/>
    <col min="5130" max="5377" width="11.5703125" style="195"/>
    <col min="5378" max="5378" width="33.140625" style="195" bestFit="1" customWidth="1"/>
    <col min="5379" max="5379" width="9.85546875" style="195" customWidth="1"/>
    <col min="5380" max="5380" width="9.5703125" style="195" customWidth="1"/>
    <col min="5381" max="5381" width="9.42578125" style="195" customWidth="1"/>
    <col min="5382" max="5382" width="8.42578125" style="195" customWidth="1"/>
    <col min="5383" max="5383" width="14" style="195" bestFit="1" customWidth="1"/>
    <col min="5384" max="5384" width="9.5703125" style="195" bestFit="1" customWidth="1"/>
    <col min="5385" max="5385" width="5.140625" style="195" bestFit="1" customWidth="1"/>
    <col min="5386" max="5633" width="11.5703125" style="195"/>
    <col min="5634" max="5634" width="33.140625" style="195" bestFit="1" customWidth="1"/>
    <col min="5635" max="5635" width="9.85546875" style="195" customWidth="1"/>
    <col min="5636" max="5636" width="9.5703125" style="195" customWidth="1"/>
    <col min="5637" max="5637" width="9.42578125" style="195" customWidth="1"/>
    <col min="5638" max="5638" width="8.42578125" style="195" customWidth="1"/>
    <col min="5639" max="5639" width="14" style="195" bestFit="1" customWidth="1"/>
    <col min="5640" max="5640" width="9.5703125" style="195" bestFit="1" customWidth="1"/>
    <col min="5641" max="5641" width="5.140625" style="195" bestFit="1" customWidth="1"/>
    <col min="5642" max="5889" width="11.5703125" style="195"/>
    <col min="5890" max="5890" width="33.140625" style="195" bestFit="1" customWidth="1"/>
    <col min="5891" max="5891" width="9.85546875" style="195" customWidth="1"/>
    <col min="5892" max="5892" width="9.5703125" style="195" customWidth="1"/>
    <col min="5893" max="5893" width="9.42578125" style="195" customWidth="1"/>
    <col min="5894" max="5894" width="8.42578125" style="195" customWidth="1"/>
    <col min="5895" max="5895" width="14" style="195" bestFit="1" customWidth="1"/>
    <col min="5896" max="5896" width="9.5703125" style="195" bestFit="1" customWidth="1"/>
    <col min="5897" max="5897" width="5.140625" style="195" bestFit="1" customWidth="1"/>
    <col min="5898" max="6145" width="11.5703125" style="195"/>
    <col min="6146" max="6146" width="33.140625" style="195" bestFit="1" customWidth="1"/>
    <col min="6147" max="6147" width="9.85546875" style="195" customWidth="1"/>
    <col min="6148" max="6148" width="9.5703125" style="195" customWidth="1"/>
    <col min="6149" max="6149" width="9.42578125" style="195" customWidth="1"/>
    <col min="6150" max="6150" width="8.42578125" style="195" customWidth="1"/>
    <col min="6151" max="6151" width="14" style="195" bestFit="1" customWidth="1"/>
    <col min="6152" max="6152" width="9.5703125" style="195" bestFit="1" customWidth="1"/>
    <col min="6153" max="6153" width="5.140625" style="195" bestFit="1" customWidth="1"/>
    <col min="6154" max="6401" width="11.5703125" style="195"/>
    <col min="6402" max="6402" width="33.140625" style="195" bestFit="1" customWidth="1"/>
    <col min="6403" max="6403" width="9.85546875" style="195" customWidth="1"/>
    <col min="6404" max="6404" width="9.5703125" style="195" customWidth="1"/>
    <col min="6405" max="6405" width="9.42578125" style="195" customWidth="1"/>
    <col min="6406" max="6406" width="8.42578125" style="195" customWidth="1"/>
    <col min="6407" max="6407" width="14" style="195" bestFit="1" customWidth="1"/>
    <col min="6408" max="6408" width="9.5703125" style="195" bestFit="1" customWidth="1"/>
    <col min="6409" max="6409" width="5.140625" style="195" bestFit="1" customWidth="1"/>
    <col min="6410" max="6657" width="11.5703125" style="195"/>
    <col min="6658" max="6658" width="33.140625" style="195" bestFit="1" customWidth="1"/>
    <col min="6659" max="6659" width="9.85546875" style="195" customWidth="1"/>
    <col min="6660" max="6660" width="9.5703125" style="195" customWidth="1"/>
    <col min="6661" max="6661" width="9.42578125" style="195" customWidth="1"/>
    <col min="6662" max="6662" width="8.42578125" style="195" customWidth="1"/>
    <col min="6663" max="6663" width="14" style="195" bestFit="1" customWidth="1"/>
    <col min="6664" max="6664" width="9.5703125" style="195" bestFit="1" customWidth="1"/>
    <col min="6665" max="6665" width="5.140625" style="195" bestFit="1" customWidth="1"/>
    <col min="6666" max="6913" width="11.5703125" style="195"/>
    <col min="6914" max="6914" width="33.140625" style="195" bestFit="1" customWidth="1"/>
    <col min="6915" max="6915" width="9.85546875" style="195" customWidth="1"/>
    <col min="6916" max="6916" width="9.5703125" style="195" customWidth="1"/>
    <col min="6917" max="6917" width="9.42578125" style="195" customWidth="1"/>
    <col min="6918" max="6918" width="8.42578125" style="195" customWidth="1"/>
    <col min="6919" max="6919" width="14" style="195" bestFit="1" customWidth="1"/>
    <col min="6920" max="6920" width="9.5703125" style="195" bestFit="1" customWidth="1"/>
    <col min="6921" max="6921" width="5.140625" style="195" bestFit="1" customWidth="1"/>
    <col min="6922" max="7169" width="11.5703125" style="195"/>
    <col min="7170" max="7170" width="33.140625" style="195" bestFit="1" customWidth="1"/>
    <col min="7171" max="7171" width="9.85546875" style="195" customWidth="1"/>
    <col min="7172" max="7172" width="9.5703125" style="195" customWidth="1"/>
    <col min="7173" max="7173" width="9.42578125" style="195" customWidth="1"/>
    <col min="7174" max="7174" width="8.42578125" style="195" customWidth="1"/>
    <col min="7175" max="7175" width="14" style="195" bestFit="1" customWidth="1"/>
    <col min="7176" max="7176" width="9.5703125" style="195" bestFit="1" customWidth="1"/>
    <col min="7177" max="7177" width="5.140625" style="195" bestFit="1" customWidth="1"/>
    <col min="7178" max="7425" width="11.5703125" style="195"/>
    <col min="7426" max="7426" width="33.140625" style="195" bestFit="1" customWidth="1"/>
    <col min="7427" max="7427" width="9.85546875" style="195" customWidth="1"/>
    <col min="7428" max="7428" width="9.5703125" style="195" customWidth="1"/>
    <col min="7429" max="7429" width="9.42578125" style="195" customWidth="1"/>
    <col min="7430" max="7430" width="8.42578125" style="195" customWidth="1"/>
    <col min="7431" max="7431" width="14" style="195" bestFit="1" customWidth="1"/>
    <col min="7432" max="7432" width="9.5703125" style="195" bestFit="1" customWidth="1"/>
    <col min="7433" max="7433" width="5.140625" style="195" bestFit="1" customWidth="1"/>
    <col min="7434" max="7681" width="11.5703125" style="195"/>
    <col min="7682" max="7682" width="33.140625" style="195" bestFit="1" customWidth="1"/>
    <col min="7683" max="7683" width="9.85546875" style="195" customWidth="1"/>
    <col min="7684" max="7684" width="9.5703125" style="195" customWidth="1"/>
    <col min="7685" max="7685" width="9.42578125" style="195" customWidth="1"/>
    <col min="7686" max="7686" width="8.42578125" style="195" customWidth="1"/>
    <col min="7687" max="7687" width="14" style="195" bestFit="1" customWidth="1"/>
    <col min="7688" max="7688" width="9.5703125" style="195" bestFit="1" customWidth="1"/>
    <col min="7689" max="7689" width="5.140625" style="195" bestFit="1" customWidth="1"/>
    <col min="7690" max="7937" width="11.5703125" style="195"/>
    <col min="7938" max="7938" width="33.140625" style="195" bestFit="1" customWidth="1"/>
    <col min="7939" max="7939" width="9.85546875" style="195" customWidth="1"/>
    <col min="7940" max="7940" width="9.5703125" style="195" customWidth="1"/>
    <col min="7941" max="7941" width="9.42578125" style="195" customWidth="1"/>
    <col min="7942" max="7942" width="8.42578125" style="195" customWidth="1"/>
    <col min="7943" max="7943" width="14" style="195" bestFit="1" customWidth="1"/>
    <col min="7944" max="7944" width="9.5703125" style="195" bestFit="1" customWidth="1"/>
    <col min="7945" max="7945" width="5.140625" style="195" bestFit="1" customWidth="1"/>
    <col min="7946" max="8193" width="11.5703125" style="195"/>
    <col min="8194" max="8194" width="33.140625" style="195" bestFit="1" customWidth="1"/>
    <col min="8195" max="8195" width="9.85546875" style="195" customWidth="1"/>
    <col min="8196" max="8196" width="9.5703125" style="195" customWidth="1"/>
    <col min="8197" max="8197" width="9.42578125" style="195" customWidth="1"/>
    <col min="8198" max="8198" width="8.42578125" style="195" customWidth="1"/>
    <col min="8199" max="8199" width="14" style="195" bestFit="1" customWidth="1"/>
    <col min="8200" max="8200" width="9.5703125" style="195" bestFit="1" customWidth="1"/>
    <col min="8201" max="8201" width="5.140625" style="195" bestFit="1" customWidth="1"/>
    <col min="8202" max="8449" width="11.5703125" style="195"/>
    <col min="8450" max="8450" width="33.140625" style="195" bestFit="1" customWidth="1"/>
    <col min="8451" max="8451" width="9.85546875" style="195" customWidth="1"/>
    <col min="8452" max="8452" width="9.5703125" style="195" customWidth="1"/>
    <col min="8453" max="8453" width="9.42578125" style="195" customWidth="1"/>
    <col min="8454" max="8454" width="8.42578125" style="195" customWidth="1"/>
    <col min="8455" max="8455" width="14" style="195" bestFit="1" customWidth="1"/>
    <col min="8456" max="8456" width="9.5703125" style="195" bestFit="1" customWidth="1"/>
    <col min="8457" max="8457" width="5.140625" style="195" bestFit="1" customWidth="1"/>
    <col min="8458" max="8705" width="11.5703125" style="195"/>
    <col min="8706" max="8706" width="33.140625" style="195" bestFit="1" customWidth="1"/>
    <col min="8707" max="8707" width="9.85546875" style="195" customWidth="1"/>
    <col min="8708" max="8708" width="9.5703125" style="195" customWidth="1"/>
    <col min="8709" max="8709" width="9.42578125" style="195" customWidth="1"/>
    <col min="8710" max="8710" width="8.42578125" style="195" customWidth="1"/>
    <col min="8711" max="8711" width="14" style="195" bestFit="1" customWidth="1"/>
    <col min="8712" max="8712" width="9.5703125" style="195" bestFit="1" customWidth="1"/>
    <col min="8713" max="8713" width="5.140625" style="195" bestFit="1" customWidth="1"/>
    <col min="8714" max="8961" width="11.5703125" style="195"/>
    <col min="8962" max="8962" width="33.140625" style="195" bestFit="1" customWidth="1"/>
    <col min="8963" max="8963" width="9.85546875" style="195" customWidth="1"/>
    <col min="8964" max="8964" width="9.5703125" style="195" customWidth="1"/>
    <col min="8965" max="8965" width="9.42578125" style="195" customWidth="1"/>
    <col min="8966" max="8966" width="8.42578125" style="195" customWidth="1"/>
    <col min="8967" max="8967" width="14" style="195" bestFit="1" customWidth="1"/>
    <col min="8968" max="8968" width="9.5703125" style="195" bestFit="1" customWidth="1"/>
    <col min="8969" max="8969" width="5.140625" style="195" bestFit="1" customWidth="1"/>
    <col min="8970" max="9217" width="11.5703125" style="195"/>
    <col min="9218" max="9218" width="33.140625" style="195" bestFit="1" customWidth="1"/>
    <col min="9219" max="9219" width="9.85546875" style="195" customWidth="1"/>
    <col min="9220" max="9220" width="9.5703125" style="195" customWidth="1"/>
    <col min="9221" max="9221" width="9.42578125" style="195" customWidth="1"/>
    <col min="9222" max="9222" width="8.42578125" style="195" customWidth="1"/>
    <col min="9223" max="9223" width="14" style="195" bestFit="1" customWidth="1"/>
    <col min="9224" max="9224" width="9.5703125" style="195" bestFit="1" customWidth="1"/>
    <col min="9225" max="9225" width="5.140625" style="195" bestFit="1" customWidth="1"/>
    <col min="9226" max="9473" width="11.5703125" style="195"/>
    <col min="9474" max="9474" width="33.140625" style="195" bestFit="1" customWidth="1"/>
    <col min="9475" max="9475" width="9.85546875" style="195" customWidth="1"/>
    <col min="9476" max="9476" width="9.5703125" style="195" customWidth="1"/>
    <col min="9477" max="9477" width="9.42578125" style="195" customWidth="1"/>
    <col min="9478" max="9478" width="8.42578125" style="195" customWidth="1"/>
    <col min="9479" max="9479" width="14" style="195" bestFit="1" customWidth="1"/>
    <col min="9480" max="9480" width="9.5703125" style="195" bestFit="1" customWidth="1"/>
    <col min="9481" max="9481" width="5.140625" style="195" bestFit="1" customWidth="1"/>
    <col min="9482" max="9729" width="11.5703125" style="195"/>
    <col min="9730" max="9730" width="33.140625" style="195" bestFit="1" customWidth="1"/>
    <col min="9731" max="9731" width="9.85546875" style="195" customWidth="1"/>
    <col min="9732" max="9732" width="9.5703125" style="195" customWidth="1"/>
    <col min="9733" max="9733" width="9.42578125" style="195" customWidth="1"/>
    <col min="9734" max="9734" width="8.42578125" style="195" customWidth="1"/>
    <col min="9735" max="9735" width="14" style="195" bestFit="1" customWidth="1"/>
    <col min="9736" max="9736" width="9.5703125" style="195" bestFit="1" customWidth="1"/>
    <col min="9737" max="9737" width="5.140625" style="195" bestFit="1" customWidth="1"/>
    <col min="9738" max="9985" width="11.5703125" style="195"/>
    <col min="9986" max="9986" width="33.140625" style="195" bestFit="1" customWidth="1"/>
    <col min="9987" max="9987" width="9.85546875" style="195" customWidth="1"/>
    <col min="9988" max="9988" width="9.5703125" style="195" customWidth="1"/>
    <col min="9989" max="9989" width="9.42578125" style="195" customWidth="1"/>
    <col min="9990" max="9990" width="8.42578125" style="195" customWidth="1"/>
    <col min="9991" max="9991" width="14" style="195" bestFit="1" customWidth="1"/>
    <col min="9992" max="9992" width="9.5703125" style="195" bestFit="1" customWidth="1"/>
    <col min="9993" max="9993" width="5.140625" style="195" bestFit="1" customWidth="1"/>
    <col min="9994" max="10241" width="11.5703125" style="195"/>
    <col min="10242" max="10242" width="33.140625" style="195" bestFit="1" customWidth="1"/>
    <col min="10243" max="10243" width="9.85546875" style="195" customWidth="1"/>
    <col min="10244" max="10244" width="9.5703125" style="195" customWidth="1"/>
    <col min="10245" max="10245" width="9.42578125" style="195" customWidth="1"/>
    <col min="10246" max="10246" width="8.42578125" style="195" customWidth="1"/>
    <col min="10247" max="10247" width="14" style="195" bestFit="1" customWidth="1"/>
    <col min="10248" max="10248" width="9.5703125" style="195" bestFit="1" customWidth="1"/>
    <col min="10249" max="10249" width="5.140625" style="195" bestFit="1" customWidth="1"/>
    <col min="10250" max="10497" width="11.5703125" style="195"/>
    <col min="10498" max="10498" width="33.140625" style="195" bestFit="1" customWidth="1"/>
    <col min="10499" max="10499" width="9.85546875" style="195" customWidth="1"/>
    <col min="10500" max="10500" width="9.5703125" style="195" customWidth="1"/>
    <col min="10501" max="10501" width="9.42578125" style="195" customWidth="1"/>
    <col min="10502" max="10502" width="8.42578125" style="195" customWidth="1"/>
    <col min="10503" max="10503" width="14" style="195" bestFit="1" customWidth="1"/>
    <col min="10504" max="10504" width="9.5703125" style="195" bestFit="1" customWidth="1"/>
    <col min="10505" max="10505" width="5.140625" style="195" bestFit="1" customWidth="1"/>
    <col min="10506" max="10753" width="11.5703125" style="195"/>
    <col min="10754" max="10754" width="33.140625" style="195" bestFit="1" customWidth="1"/>
    <col min="10755" max="10755" width="9.85546875" style="195" customWidth="1"/>
    <col min="10756" max="10756" width="9.5703125" style="195" customWidth="1"/>
    <col min="10757" max="10757" width="9.42578125" style="195" customWidth="1"/>
    <col min="10758" max="10758" width="8.42578125" style="195" customWidth="1"/>
    <col min="10759" max="10759" width="14" style="195" bestFit="1" customWidth="1"/>
    <col min="10760" max="10760" width="9.5703125" style="195" bestFit="1" customWidth="1"/>
    <col min="10761" max="10761" width="5.140625" style="195" bestFit="1" customWidth="1"/>
    <col min="10762" max="11009" width="11.5703125" style="195"/>
    <col min="11010" max="11010" width="33.140625" style="195" bestFit="1" customWidth="1"/>
    <col min="11011" max="11011" width="9.85546875" style="195" customWidth="1"/>
    <col min="11012" max="11012" width="9.5703125" style="195" customWidth="1"/>
    <col min="11013" max="11013" width="9.42578125" style="195" customWidth="1"/>
    <col min="11014" max="11014" width="8.42578125" style="195" customWidth="1"/>
    <col min="11015" max="11015" width="14" style="195" bestFit="1" customWidth="1"/>
    <col min="11016" max="11016" width="9.5703125" style="195" bestFit="1" customWidth="1"/>
    <col min="11017" max="11017" width="5.140625" style="195" bestFit="1" customWidth="1"/>
    <col min="11018" max="11265" width="11.5703125" style="195"/>
    <col min="11266" max="11266" width="33.140625" style="195" bestFit="1" customWidth="1"/>
    <col min="11267" max="11267" width="9.85546875" style="195" customWidth="1"/>
    <col min="11268" max="11268" width="9.5703125" style="195" customWidth="1"/>
    <col min="11269" max="11269" width="9.42578125" style="195" customWidth="1"/>
    <col min="11270" max="11270" width="8.42578125" style="195" customWidth="1"/>
    <col min="11271" max="11271" width="14" style="195" bestFit="1" customWidth="1"/>
    <col min="11272" max="11272" width="9.5703125" style="195" bestFit="1" customWidth="1"/>
    <col min="11273" max="11273" width="5.140625" style="195" bestFit="1" customWidth="1"/>
    <col min="11274" max="11521" width="11.5703125" style="195"/>
    <col min="11522" max="11522" width="33.140625" style="195" bestFit="1" customWidth="1"/>
    <col min="11523" max="11523" width="9.85546875" style="195" customWidth="1"/>
    <col min="11524" max="11524" width="9.5703125" style="195" customWidth="1"/>
    <col min="11525" max="11525" width="9.42578125" style="195" customWidth="1"/>
    <col min="11526" max="11526" width="8.42578125" style="195" customWidth="1"/>
    <col min="11527" max="11527" width="14" style="195" bestFit="1" customWidth="1"/>
    <col min="11528" max="11528" width="9.5703125" style="195" bestFit="1" customWidth="1"/>
    <col min="11529" max="11529" width="5.140625" style="195" bestFit="1" customWidth="1"/>
    <col min="11530" max="11777" width="11.5703125" style="195"/>
    <col min="11778" max="11778" width="33.140625" style="195" bestFit="1" customWidth="1"/>
    <col min="11779" max="11779" width="9.85546875" style="195" customWidth="1"/>
    <col min="11780" max="11780" width="9.5703125" style="195" customWidth="1"/>
    <col min="11781" max="11781" width="9.42578125" style="195" customWidth="1"/>
    <col min="11782" max="11782" width="8.42578125" style="195" customWidth="1"/>
    <col min="11783" max="11783" width="14" style="195" bestFit="1" customWidth="1"/>
    <col min="11784" max="11784" width="9.5703125" style="195" bestFit="1" customWidth="1"/>
    <col min="11785" max="11785" width="5.140625" style="195" bestFit="1" customWidth="1"/>
    <col min="11786" max="12033" width="11.5703125" style="195"/>
    <col min="12034" max="12034" width="33.140625" style="195" bestFit="1" customWidth="1"/>
    <col min="12035" max="12035" width="9.85546875" style="195" customWidth="1"/>
    <col min="12036" max="12036" width="9.5703125" style="195" customWidth="1"/>
    <col min="12037" max="12037" width="9.42578125" style="195" customWidth="1"/>
    <col min="12038" max="12038" width="8.42578125" style="195" customWidth="1"/>
    <col min="12039" max="12039" width="14" style="195" bestFit="1" customWidth="1"/>
    <col min="12040" max="12040" width="9.5703125" style="195" bestFit="1" customWidth="1"/>
    <col min="12041" max="12041" width="5.140625" style="195" bestFit="1" customWidth="1"/>
    <col min="12042" max="12289" width="11.5703125" style="195"/>
    <col min="12290" max="12290" width="33.140625" style="195" bestFit="1" customWidth="1"/>
    <col min="12291" max="12291" width="9.85546875" style="195" customWidth="1"/>
    <col min="12292" max="12292" width="9.5703125" style="195" customWidth="1"/>
    <col min="12293" max="12293" width="9.42578125" style="195" customWidth="1"/>
    <col min="12294" max="12294" width="8.42578125" style="195" customWidth="1"/>
    <col min="12295" max="12295" width="14" style="195" bestFit="1" customWidth="1"/>
    <col min="12296" max="12296" width="9.5703125" style="195" bestFit="1" customWidth="1"/>
    <col min="12297" max="12297" width="5.140625" style="195" bestFit="1" customWidth="1"/>
    <col min="12298" max="12545" width="11.5703125" style="195"/>
    <col min="12546" max="12546" width="33.140625" style="195" bestFit="1" customWidth="1"/>
    <col min="12547" max="12547" width="9.85546875" style="195" customWidth="1"/>
    <col min="12548" max="12548" width="9.5703125" style="195" customWidth="1"/>
    <col min="12549" max="12549" width="9.42578125" style="195" customWidth="1"/>
    <col min="12550" max="12550" width="8.42578125" style="195" customWidth="1"/>
    <col min="12551" max="12551" width="14" style="195" bestFit="1" customWidth="1"/>
    <col min="12552" max="12552" width="9.5703125" style="195" bestFit="1" customWidth="1"/>
    <col min="12553" max="12553" width="5.140625" style="195" bestFit="1" customWidth="1"/>
    <col min="12554" max="12801" width="11.5703125" style="195"/>
    <col min="12802" max="12802" width="33.140625" style="195" bestFit="1" customWidth="1"/>
    <col min="12803" max="12803" width="9.85546875" style="195" customWidth="1"/>
    <col min="12804" max="12804" width="9.5703125" style="195" customWidth="1"/>
    <col min="12805" max="12805" width="9.42578125" style="195" customWidth="1"/>
    <col min="12806" max="12806" width="8.42578125" style="195" customWidth="1"/>
    <col min="12807" max="12807" width="14" style="195" bestFit="1" customWidth="1"/>
    <col min="12808" max="12808" width="9.5703125" style="195" bestFit="1" customWidth="1"/>
    <col min="12809" max="12809" width="5.140625" style="195" bestFit="1" customWidth="1"/>
    <col min="12810" max="13057" width="11.5703125" style="195"/>
    <col min="13058" max="13058" width="33.140625" style="195" bestFit="1" customWidth="1"/>
    <col min="13059" max="13059" width="9.85546875" style="195" customWidth="1"/>
    <col min="13060" max="13060" width="9.5703125" style="195" customWidth="1"/>
    <col min="13061" max="13061" width="9.42578125" style="195" customWidth="1"/>
    <col min="13062" max="13062" width="8.42578125" style="195" customWidth="1"/>
    <col min="13063" max="13063" width="14" style="195" bestFit="1" customWidth="1"/>
    <col min="13064" max="13064" width="9.5703125" style="195" bestFit="1" customWidth="1"/>
    <col min="13065" max="13065" width="5.140625" style="195" bestFit="1" customWidth="1"/>
    <col min="13066" max="13313" width="11.5703125" style="195"/>
    <col min="13314" max="13314" width="33.140625" style="195" bestFit="1" customWidth="1"/>
    <col min="13315" max="13315" width="9.85546875" style="195" customWidth="1"/>
    <col min="13316" max="13316" width="9.5703125" style="195" customWidth="1"/>
    <col min="13317" max="13317" width="9.42578125" style="195" customWidth="1"/>
    <col min="13318" max="13318" width="8.42578125" style="195" customWidth="1"/>
    <col min="13319" max="13319" width="14" style="195" bestFit="1" customWidth="1"/>
    <col min="13320" max="13320" width="9.5703125" style="195" bestFit="1" customWidth="1"/>
    <col min="13321" max="13321" width="5.140625" style="195" bestFit="1" customWidth="1"/>
    <col min="13322" max="13569" width="11.5703125" style="195"/>
    <col min="13570" max="13570" width="33.140625" style="195" bestFit="1" customWidth="1"/>
    <col min="13571" max="13571" width="9.85546875" style="195" customWidth="1"/>
    <col min="13572" max="13572" width="9.5703125" style="195" customWidth="1"/>
    <col min="13573" max="13573" width="9.42578125" style="195" customWidth="1"/>
    <col min="13574" max="13574" width="8.42578125" style="195" customWidth="1"/>
    <col min="13575" max="13575" width="14" style="195" bestFit="1" customWidth="1"/>
    <col min="13576" max="13576" width="9.5703125" style="195" bestFit="1" customWidth="1"/>
    <col min="13577" max="13577" width="5.140625" style="195" bestFit="1" customWidth="1"/>
    <col min="13578" max="13825" width="11.5703125" style="195"/>
    <col min="13826" max="13826" width="33.140625" style="195" bestFit="1" customWidth="1"/>
    <col min="13827" max="13827" width="9.85546875" style="195" customWidth="1"/>
    <col min="13828" max="13828" width="9.5703125" style="195" customWidth="1"/>
    <col min="13829" max="13829" width="9.42578125" style="195" customWidth="1"/>
    <col min="13830" max="13830" width="8.42578125" style="195" customWidth="1"/>
    <col min="13831" max="13831" width="14" style="195" bestFit="1" customWidth="1"/>
    <col min="13832" max="13832" width="9.5703125" style="195" bestFit="1" customWidth="1"/>
    <col min="13833" max="13833" width="5.140625" style="195" bestFit="1" customWidth="1"/>
    <col min="13834" max="14081" width="11.5703125" style="195"/>
    <col min="14082" max="14082" width="33.140625" style="195" bestFit="1" customWidth="1"/>
    <col min="14083" max="14083" width="9.85546875" style="195" customWidth="1"/>
    <col min="14084" max="14084" width="9.5703125" style="195" customWidth="1"/>
    <col min="14085" max="14085" width="9.42578125" style="195" customWidth="1"/>
    <col min="14086" max="14086" width="8.42578125" style="195" customWidth="1"/>
    <col min="14087" max="14087" width="14" style="195" bestFit="1" customWidth="1"/>
    <col min="14088" max="14088" width="9.5703125" style="195" bestFit="1" customWidth="1"/>
    <col min="14089" max="14089" width="5.140625" style="195" bestFit="1" customWidth="1"/>
    <col min="14090" max="14337" width="11.5703125" style="195"/>
    <col min="14338" max="14338" width="33.140625" style="195" bestFit="1" customWidth="1"/>
    <col min="14339" max="14339" width="9.85546875" style="195" customWidth="1"/>
    <col min="14340" max="14340" width="9.5703125" style="195" customWidth="1"/>
    <col min="14341" max="14341" width="9.42578125" style="195" customWidth="1"/>
    <col min="14342" max="14342" width="8.42578125" style="195" customWidth="1"/>
    <col min="14343" max="14343" width="14" style="195" bestFit="1" customWidth="1"/>
    <col min="14344" max="14344" width="9.5703125" style="195" bestFit="1" customWidth="1"/>
    <col min="14345" max="14345" width="5.140625" style="195" bestFit="1" customWidth="1"/>
    <col min="14346" max="14593" width="11.5703125" style="195"/>
    <col min="14594" max="14594" width="33.140625" style="195" bestFit="1" customWidth="1"/>
    <col min="14595" max="14595" width="9.85546875" style="195" customWidth="1"/>
    <col min="14596" max="14596" width="9.5703125" style="195" customWidth="1"/>
    <col min="14597" max="14597" width="9.42578125" style="195" customWidth="1"/>
    <col min="14598" max="14598" width="8.42578125" style="195" customWidth="1"/>
    <col min="14599" max="14599" width="14" style="195" bestFit="1" customWidth="1"/>
    <col min="14600" max="14600" width="9.5703125" style="195" bestFit="1" customWidth="1"/>
    <col min="14601" max="14601" width="5.140625" style="195" bestFit="1" customWidth="1"/>
    <col min="14602" max="14849" width="11.5703125" style="195"/>
    <col min="14850" max="14850" width="33.140625" style="195" bestFit="1" customWidth="1"/>
    <col min="14851" max="14851" width="9.85546875" style="195" customWidth="1"/>
    <col min="14852" max="14852" width="9.5703125" style="195" customWidth="1"/>
    <col min="14853" max="14853" width="9.42578125" style="195" customWidth="1"/>
    <col min="14854" max="14854" width="8.42578125" style="195" customWidth="1"/>
    <col min="14855" max="14855" width="14" style="195" bestFit="1" customWidth="1"/>
    <col min="14856" max="14856" width="9.5703125" style="195" bestFit="1" customWidth="1"/>
    <col min="14857" max="14857" width="5.140625" style="195" bestFit="1" customWidth="1"/>
    <col min="14858" max="15105" width="11.5703125" style="195"/>
    <col min="15106" max="15106" width="33.140625" style="195" bestFit="1" customWidth="1"/>
    <col min="15107" max="15107" width="9.85546875" style="195" customWidth="1"/>
    <col min="15108" max="15108" width="9.5703125" style="195" customWidth="1"/>
    <col min="15109" max="15109" width="9.42578125" style="195" customWidth="1"/>
    <col min="15110" max="15110" width="8.42578125" style="195" customWidth="1"/>
    <col min="15111" max="15111" width="14" style="195" bestFit="1" customWidth="1"/>
    <col min="15112" max="15112" width="9.5703125" style="195" bestFit="1" customWidth="1"/>
    <col min="15113" max="15113" width="5.140625" style="195" bestFit="1" customWidth="1"/>
    <col min="15114" max="15361" width="11.5703125" style="195"/>
    <col min="15362" max="15362" width="33.140625" style="195" bestFit="1" customWidth="1"/>
    <col min="15363" max="15363" width="9.85546875" style="195" customWidth="1"/>
    <col min="15364" max="15364" width="9.5703125" style="195" customWidth="1"/>
    <col min="15365" max="15365" width="9.42578125" style="195" customWidth="1"/>
    <col min="15366" max="15366" width="8.42578125" style="195" customWidth="1"/>
    <col min="15367" max="15367" width="14" style="195" bestFit="1" customWidth="1"/>
    <col min="15368" max="15368" width="9.5703125" style="195" bestFit="1" customWidth="1"/>
    <col min="15369" max="15369" width="5.140625" style="195" bestFit="1" customWidth="1"/>
    <col min="15370" max="15617" width="11.5703125" style="195"/>
    <col min="15618" max="15618" width="33.140625" style="195" bestFit="1" customWidth="1"/>
    <col min="15619" max="15619" width="9.85546875" style="195" customWidth="1"/>
    <col min="15620" max="15620" width="9.5703125" style="195" customWidth="1"/>
    <col min="15621" max="15621" width="9.42578125" style="195" customWidth="1"/>
    <col min="15622" max="15622" width="8.42578125" style="195" customWidth="1"/>
    <col min="15623" max="15623" width="14" style="195" bestFit="1" customWidth="1"/>
    <col min="15624" max="15624" width="9.5703125" style="195" bestFit="1" customWidth="1"/>
    <col min="15625" max="15625" width="5.140625" style="195" bestFit="1" customWidth="1"/>
    <col min="15626" max="15873" width="11.5703125" style="195"/>
    <col min="15874" max="15874" width="33.140625" style="195" bestFit="1" customWidth="1"/>
    <col min="15875" max="15875" width="9.85546875" style="195" customWidth="1"/>
    <col min="15876" max="15876" width="9.5703125" style="195" customWidth="1"/>
    <col min="15877" max="15877" width="9.42578125" style="195" customWidth="1"/>
    <col min="15878" max="15878" width="8.42578125" style="195" customWidth="1"/>
    <col min="15879" max="15879" width="14" style="195" bestFit="1" customWidth="1"/>
    <col min="15880" max="15880" width="9.5703125" style="195" bestFit="1" customWidth="1"/>
    <col min="15881" max="15881" width="5.140625" style="195" bestFit="1" customWidth="1"/>
    <col min="15882" max="16129" width="11.5703125" style="195"/>
    <col min="16130" max="16130" width="33.140625" style="195" bestFit="1" customWidth="1"/>
    <col min="16131" max="16131" width="9.85546875" style="195" customWidth="1"/>
    <col min="16132" max="16132" width="9.5703125" style="195" customWidth="1"/>
    <col min="16133" max="16133" width="9.42578125" style="195" customWidth="1"/>
    <col min="16134" max="16134" width="8.42578125" style="195" customWidth="1"/>
    <col min="16135" max="16135" width="14" style="195" bestFit="1" customWidth="1"/>
    <col min="16136" max="16136" width="9.5703125" style="195" bestFit="1" customWidth="1"/>
    <col min="16137" max="16137" width="5.140625" style="195" bestFit="1" customWidth="1"/>
    <col min="16138" max="16384" width="11.5703125" style="195"/>
  </cols>
  <sheetData>
    <row r="1" spans="1:12" ht="21.6" customHeight="1" x14ac:dyDescent="0.25">
      <c r="A1" s="231" t="s">
        <v>98</v>
      </c>
      <c r="B1" s="346"/>
      <c r="C1" s="346"/>
      <c r="D1" s="346"/>
      <c r="E1" s="346"/>
      <c r="F1" s="346"/>
      <c r="G1" s="346"/>
      <c r="H1" s="346"/>
      <c r="I1" s="229"/>
    </row>
    <row r="2" spans="1:12" ht="21.6" customHeight="1" x14ac:dyDescent="0.25">
      <c r="A2" s="1491" t="s">
        <v>573</v>
      </c>
      <c r="B2" s="346"/>
      <c r="C2" s="346"/>
      <c r="D2" s="346"/>
      <c r="E2" s="346"/>
      <c r="F2" s="346"/>
      <c r="G2" s="346"/>
      <c r="H2" s="346"/>
      <c r="I2" s="229"/>
    </row>
    <row r="3" spans="1:12" ht="21.6" customHeight="1" x14ac:dyDescent="0.25">
      <c r="A3" s="1491" t="s">
        <v>574</v>
      </c>
      <c r="B3" s="232"/>
      <c r="C3" s="232"/>
      <c r="D3" s="232"/>
      <c r="E3" s="232"/>
      <c r="F3" s="232"/>
      <c r="G3" s="232"/>
      <c r="H3" s="232"/>
      <c r="I3" s="229"/>
    </row>
    <row r="4" spans="1:12" ht="20.45" customHeight="1" x14ac:dyDescent="0.25">
      <c r="A4" s="1535" t="s">
        <v>158</v>
      </c>
      <c r="B4" s="1535"/>
      <c r="C4" s="1535"/>
      <c r="D4" s="1535"/>
      <c r="E4" s="1535"/>
      <c r="F4" s="1535"/>
      <c r="G4" s="1535"/>
      <c r="H4" s="1535"/>
      <c r="I4" s="1535"/>
    </row>
    <row r="5" spans="1:12" ht="18" customHeight="1" thickBot="1" x14ac:dyDescent="0.3">
      <c r="A5" s="233"/>
      <c r="B5" s="1278"/>
      <c r="C5" s="234"/>
      <c r="D5" s="234"/>
      <c r="E5" s="234"/>
      <c r="F5" s="234"/>
      <c r="G5" s="233"/>
      <c r="H5" s="233"/>
      <c r="I5" s="409"/>
    </row>
    <row r="6" spans="1:12" ht="13.5" customHeight="1" thickBot="1" x14ac:dyDescent="0.25">
      <c r="A6" s="1532" t="s">
        <v>56</v>
      </c>
      <c r="B6" s="1536" t="s">
        <v>570</v>
      </c>
      <c r="C6" s="1537"/>
      <c r="D6" s="1537"/>
      <c r="E6" s="1537"/>
      <c r="F6" s="1538"/>
      <c r="G6" s="1527" t="s">
        <v>197</v>
      </c>
      <c r="H6" s="1527" t="s">
        <v>90</v>
      </c>
      <c r="I6" s="1530" t="s">
        <v>92</v>
      </c>
      <c r="J6" s="535"/>
      <c r="K6" s="535"/>
      <c r="L6" s="535"/>
    </row>
    <row r="7" spans="1:12" ht="14.45" customHeight="1" thickBot="1" x14ac:dyDescent="0.25">
      <c r="A7" s="1533"/>
      <c r="B7" s="529" t="s">
        <v>159</v>
      </c>
      <c r="C7" s="529" t="s">
        <v>159</v>
      </c>
      <c r="D7" s="530" t="s">
        <v>159</v>
      </c>
      <c r="E7" s="530" t="s">
        <v>159</v>
      </c>
      <c r="F7" s="1527" t="s">
        <v>571</v>
      </c>
      <c r="G7" s="1528"/>
      <c r="H7" s="1528"/>
      <c r="I7" s="1531"/>
      <c r="J7" s="535"/>
      <c r="K7" s="535"/>
      <c r="L7" s="535"/>
    </row>
    <row r="8" spans="1:12" ht="43.9" customHeight="1" thickBot="1" x14ac:dyDescent="0.25">
      <c r="A8" s="1534"/>
      <c r="B8" s="531" t="s">
        <v>226</v>
      </c>
      <c r="C8" s="531" t="s">
        <v>160</v>
      </c>
      <c r="D8" s="532" t="s">
        <v>161</v>
      </c>
      <c r="E8" s="532" t="s">
        <v>199</v>
      </c>
      <c r="F8" s="1529"/>
      <c r="G8" s="1529"/>
      <c r="H8" s="1529"/>
      <c r="I8" s="533" t="s">
        <v>162</v>
      </c>
      <c r="J8" s="535"/>
      <c r="K8" s="535"/>
      <c r="L8" s="535"/>
    </row>
    <row r="9" spans="1:12" ht="15.75" x14ac:dyDescent="0.2">
      <c r="A9" s="536" t="s">
        <v>49</v>
      </c>
      <c r="B9" s="537">
        <f>SUM(B10:B20)</f>
        <v>477237600.93000001</v>
      </c>
      <c r="C9" s="537">
        <f t="shared" ref="C9:G9" si="0">SUM(C10:C20)</f>
        <v>50514478</v>
      </c>
      <c r="D9" s="538">
        <f t="shared" si="0"/>
        <v>307642793.96500003</v>
      </c>
      <c r="E9" s="538">
        <f t="shared" si="0"/>
        <v>58206417</v>
      </c>
      <c r="F9" s="539">
        <f t="shared" si="0"/>
        <v>893601289.89499998</v>
      </c>
      <c r="G9" s="540">
        <f t="shared" si="0"/>
        <v>145699865.965</v>
      </c>
      <c r="H9" s="539">
        <f>+F9+G9</f>
        <v>1039301155.86</v>
      </c>
      <c r="I9" s="541" t="e">
        <f t="shared" ref="I9:I20" si="1">+H9/$H$55</f>
        <v>#REF!</v>
      </c>
      <c r="J9" s="535"/>
      <c r="K9" s="542"/>
      <c r="L9" s="535"/>
    </row>
    <row r="10" spans="1:12" ht="15" x14ac:dyDescent="0.2">
      <c r="A10" s="543" t="s">
        <v>69</v>
      </c>
      <c r="B10" s="544">
        <f>+'Nomina 2019 PLANTA'!I28+5</f>
        <v>293856275</v>
      </c>
      <c r="C10" s="544">
        <f>+'Nomina 2019 PLANTA'!I36</f>
        <v>35627783</v>
      </c>
      <c r="D10" s="545">
        <f>+'Nomina 2019 PLANTA'!I43</f>
        <v>89768381</v>
      </c>
      <c r="E10" s="545">
        <f>+'Nomina 2019 PLANTA'!I51</f>
        <v>37063795</v>
      </c>
      <c r="F10" s="546">
        <f>SUM(B10:E10)</f>
        <v>456316234</v>
      </c>
      <c r="G10" s="547">
        <f>+'APROP 2019'!C22</f>
        <v>42144166</v>
      </c>
      <c r="H10" s="546">
        <f>+F10+G10</f>
        <v>498460400</v>
      </c>
      <c r="I10" s="548" t="e">
        <f t="shared" si="1"/>
        <v>#REF!</v>
      </c>
      <c r="J10" s="535"/>
      <c r="K10" s="549"/>
      <c r="L10" s="535"/>
    </row>
    <row r="11" spans="1:12" ht="15" x14ac:dyDescent="0.2">
      <c r="A11" s="543" t="s">
        <v>70</v>
      </c>
      <c r="B11" s="544">
        <f>+'Nomina 2019 PLANTA'!M28</f>
        <v>11835002</v>
      </c>
      <c r="C11" s="544">
        <f>+'Nomina 2019 PLANTA'!M36</f>
        <v>1074339</v>
      </c>
      <c r="D11" s="545">
        <f>+'Nomina 2019 PLANTA'!M43</f>
        <v>3740350</v>
      </c>
      <c r="E11" s="545">
        <f>+'Nomina 2019 PLANTA'!M51</f>
        <v>1544324</v>
      </c>
      <c r="F11" s="546">
        <f t="shared" ref="F11:F20" si="2">SUM(B11:E11)</f>
        <v>18194015</v>
      </c>
      <c r="G11" s="547">
        <f>+'APROP 2019'!C23</f>
        <v>1756007</v>
      </c>
      <c r="H11" s="546">
        <f t="shared" ref="H11:H38" si="3">+F11+G11</f>
        <v>19950022</v>
      </c>
      <c r="I11" s="548" t="e">
        <f t="shared" si="1"/>
        <v>#REF!</v>
      </c>
      <c r="J11" s="535"/>
      <c r="K11" s="549"/>
      <c r="L11" s="535"/>
    </row>
    <row r="12" spans="1:12" ht="15" x14ac:dyDescent="0.2">
      <c r="A12" s="543" t="s">
        <v>97</v>
      </c>
      <c r="B12" s="544">
        <f>+'Nomina 2019 PLANTA'!G53*2</f>
        <v>2216742.4300000002</v>
      </c>
      <c r="C12" s="544">
        <f>+'Nomina 2019 PLANTA'!G35</f>
        <v>0</v>
      </c>
      <c r="D12" s="545">
        <f>+'Nomina 2019 PLANTA'!G53</f>
        <v>1108371.2150000001</v>
      </c>
      <c r="E12" s="545">
        <v>0</v>
      </c>
      <c r="F12" s="546">
        <f t="shared" si="2"/>
        <v>3325113.6450000005</v>
      </c>
      <c r="G12" s="547">
        <f>+'APROP 2019'!C24</f>
        <v>1108371.2150000001</v>
      </c>
      <c r="H12" s="546">
        <f t="shared" si="3"/>
        <v>4433484.8600000003</v>
      </c>
      <c r="I12" s="548" t="e">
        <f t="shared" si="1"/>
        <v>#REF!</v>
      </c>
      <c r="J12" s="535"/>
      <c r="K12" s="550"/>
      <c r="L12" s="535"/>
    </row>
    <row r="13" spans="1:12" ht="15" x14ac:dyDescent="0.2">
      <c r="A13" s="543" t="s">
        <v>71</v>
      </c>
      <c r="B13" s="544">
        <f>+'Nomina 2019 PLANTA'!L28</f>
        <v>23854725</v>
      </c>
      <c r="C13" s="544">
        <f>+'Nomina 2019 PLANTA'!L36</f>
        <v>2148678</v>
      </c>
      <c r="D13" s="545">
        <f>+'Nomina 2019 PLANTA'!L43</f>
        <v>7573063</v>
      </c>
      <c r="E13" s="545">
        <f>+'Nomina 2019 PLANTA'!L51</f>
        <v>3088649</v>
      </c>
      <c r="F13" s="546">
        <f t="shared" si="2"/>
        <v>36665115</v>
      </c>
      <c r="G13" s="547">
        <f>+'APROP 2019'!C25</f>
        <v>3604378</v>
      </c>
      <c r="H13" s="546">
        <f t="shared" si="3"/>
        <v>40269493</v>
      </c>
      <c r="I13" s="548" t="e">
        <f t="shared" si="1"/>
        <v>#REF!</v>
      </c>
      <c r="J13" s="535"/>
      <c r="K13" s="549"/>
      <c r="L13" s="535"/>
    </row>
    <row r="14" spans="1:12" ht="15" x14ac:dyDescent="0.2">
      <c r="A14" s="543" t="s">
        <v>50</v>
      </c>
      <c r="B14" s="544">
        <f>+'RECAUDO '!E7</f>
        <v>28560000</v>
      </c>
      <c r="C14" s="544">
        <f>+ASOCIATIVIDAD!E8</f>
        <v>0</v>
      </c>
      <c r="D14" s="545">
        <f>+ITPA!E10+ITPA!E11+ITPA!E12+ITPA!E13+PROTOTIPO!E8</f>
        <v>168600000</v>
      </c>
      <c r="E14" s="545">
        <f>+AGROEXPO!F6</f>
        <v>1650000</v>
      </c>
      <c r="F14" s="546">
        <f t="shared" si="2"/>
        <v>198810000</v>
      </c>
      <c r="G14" s="547">
        <f>+'APROP 2019'!C26</f>
        <v>79552000</v>
      </c>
      <c r="H14" s="546">
        <f t="shared" si="3"/>
        <v>278362000</v>
      </c>
      <c r="I14" s="548" t="e">
        <f t="shared" si="1"/>
        <v>#REF!</v>
      </c>
      <c r="J14" s="535"/>
      <c r="K14" s="535"/>
      <c r="L14" s="535"/>
    </row>
    <row r="15" spans="1:12" ht="15" x14ac:dyDescent="0.2">
      <c r="A15" s="543" t="s">
        <v>72</v>
      </c>
      <c r="B15" s="544">
        <f>+'Nomina 2019 PLANTA'!U28</f>
        <v>1367131.5</v>
      </c>
      <c r="C15" s="544">
        <v>0</v>
      </c>
      <c r="D15" s="545">
        <f>+'Nomina 2019 PLANTA'!U43</f>
        <v>683565.75</v>
      </c>
      <c r="E15" s="545">
        <v>0</v>
      </c>
      <c r="F15" s="546">
        <f t="shared" si="2"/>
        <v>2050697.25</v>
      </c>
      <c r="G15" s="547">
        <f>+'APROP 2019'!C27</f>
        <v>683565.75</v>
      </c>
      <c r="H15" s="546">
        <f t="shared" si="3"/>
        <v>2734263</v>
      </c>
      <c r="I15" s="548" t="e">
        <f t="shared" si="1"/>
        <v>#REF!</v>
      </c>
      <c r="J15" s="535"/>
      <c r="K15" s="535"/>
      <c r="L15" s="535"/>
    </row>
    <row r="16" spans="1:12" ht="15" x14ac:dyDescent="0.2">
      <c r="A16" s="543" t="s">
        <v>73</v>
      </c>
      <c r="B16" s="544">
        <f>+'Nomina 2019 PLANTA'!J28</f>
        <v>23854725</v>
      </c>
      <c r="C16" s="544">
        <f>+'Nomina 2019 PLANTA'!J36</f>
        <v>2148678</v>
      </c>
      <c r="D16" s="545">
        <f>+'Nomina 2019 PLANTA'!J43</f>
        <v>7573063</v>
      </c>
      <c r="E16" s="545">
        <f>+'Nomina 2019 PLANTA'!J51</f>
        <v>3088649</v>
      </c>
      <c r="F16" s="546">
        <f t="shared" si="2"/>
        <v>36665115</v>
      </c>
      <c r="G16" s="547">
        <f>+'APROP 2019'!C28</f>
        <v>3604378</v>
      </c>
      <c r="H16" s="546">
        <f t="shared" si="3"/>
        <v>40269493</v>
      </c>
      <c r="I16" s="548" t="e">
        <f t="shared" si="1"/>
        <v>#REF!</v>
      </c>
      <c r="J16" s="535"/>
      <c r="K16" s="535"/>
      <c r="L16" s="535"/>
    </row>
    <row r="17" spans="1:12" ht="15" x14ac:dyDescent="0.2">
      <c r="A17" s="543" t="s">
        <v>74</v>
      </c>
      <c r="B17" s="544">
        <f>+'Nomina 2019 PLANTA'!K28</f>
        <v>2864000</v>
      </c>
      <c r="C17" s="544">
        <f>+'Nomina 2019 PLANTA'!K36</f>
        <v>258000</v>
      </c>
      <c r="D17" s="545">
        <f>+'Nomina 2019 PLANTA'!K43</f>
        <v>909000</v>
      </c>
      <c r="E17" s="545">
        <f>+'Nomina 2019 PLANTA'!K51</f>
        <v>371000</v>
      </c>
      <c r="F17" s="546">
        <f t="shared" si="2"/>
        <v>4402000</v>
      </c>
      <c r="G17" s="547">
        <f>+'APROP 2019'!C29</f>
        <v>433000</v>
      </c>
      <c r="H17" s="546">
        <f t="shared" si="3"/>
        <v>4835000</v>
      </c>
      <c r="I17" s="548" t="e">
        <f t="shared" si="1"/>
        <v>#REF!</v>
      </c>
      <c r="J17" s="535"/>
      <c r="K17" s="535"/>
      <c r="L17" s="535"/>
    </row>
    <row r="18" spans="1:12" ht="15" x14ac:dyDescent="0.2">
      <c r="A18" s="543" t="s">
        <v>75</v>
      </c>
      <c r="B18" s="544">
        <f>+'Nomina 2019 PLANTA'!N28+'Nomina 2019 PLANTA'!O28+'Nomina 2019 PLANTA'!P28</f>
        <v>62203000</v>
      </c>
      <c r="C18" s="544">
        <f>+'Nomina 2019 PLANTA'!O36+'Nomina 2019 PLANTA'!N36+'Nomina 2019 PLANTA'!P36</f>
        <v>6840000</v>
      </c>
      <c r="D18" s="545">
        <f>+'Nomina 2019 PLANTA'!N43+'Nomina 2019 PLANTA'!O43+'Nomina 2019 PLANTA'!P43</f>
        <v>19272000</v>
      </c>
      <c r="E18" s="545">
        <f>+'Nomina 2019 PLANTA'!N51+'Nomina 2019 PLANTA'!O51+'Nomina 2019 PLANTA'!P51</f>
        <v>7925000</v>
      </c>
      <c r="F18" s="546">
        <f t="shared" si="2"/>
        <v>96240000</v>
      </c>
      <c r="G18" s="547">
        <f>+'APROP 2019'!C30</f>
        <v>8863000</v>
      </c>
      <c r="H18" s="546">
        <f t="shared" si="3"/>
        <v>105103000</v>
      </c>
      <c r="I18" s="548" t="e">
        <f t="shared" si="1"/>
        <v>#REF!</v>
      </c>
      <c r="J18" s="535"/>
      <c r="K18" s="535"/>
      <c r="L18" s="535"/>
    </row>
    <row r="19" spans="1:12" ht="15" x14ac:dyDescent="0.2">
      <c r="A19" s="543" t="s">
        <v>76</v>
      </c>
      <c r="B19" s="544">
        <f>+'Nomina 2019 PLANTA'!Q28</f>
        <v>11836000</v>
      </c>
      <c r="C19" s="544">
        <f>+'Nomina 2019 PLANTA'!Q36</f>
        <v>1074000</v>
      </c>
      <c r="D19" s="545">
        <f>+'Nomina 2019 PLANTA'!Q43</f>
        <v>3740000</v>
      </c>
      <c r="E19" s="545">
        <f>+'Nomina 2019 PLANTA'!Q51</f>
        <v>1545000</v>
      </c>
      <c r="F19" s="546">
        <f t="shared" si="2"/>
        <v>18195000</v>
      </c>
      <c r="G19" s="547">
        <f>+'APROP 2019'!C31</f>
        <v>1756000</v>
      </c>
      <c r="H19" s="546">
        <f t="shared" si="3"/>
        <v>19951000</v>
      </c>
      <c r="I19" s="548" t="e">
        <f t="shared" si="1"/>
        <v>#REF!</v>
      </c>
      <c r="J19" s="535"/>
      <c r="K19" s="535"/>
      <c r="L19" s="535"/>
    </row>
    <row r="20" spans="1:12" ht="15" x14ac:dyDescent="0.2">
      <c r="A20" s="543" t="s">
        <v>77</v>
      </c>
      <c r="B20" s="544">
        <f>+'Nomina 2019 PLANTA'!R28+'Nomina 2019 PLANTA'!S28</f>
        <v>14790000</v>
      </c>
      <c r="C20" s="544">
        <f>+'Nomina 2019 PLANTA'!R36+'Nomina 2019 PLANTA'!S36</f>
        <v>1343000</v>
      </c>
      <c r="D20" s="545">
        <f>+'Nomina 2019 PLANTA'!R43+'Nomina 2019 PLANTA'!S43</f>
        <v>4675000</v>
      </c>
      <c r="E20" s="545">
        <f>+'Nomina 2019 PLANTA'!S51+'Nomina 2019 PLANTA'!R51</f>
        <v>1930000</v>
      </c>
      <c r="F20" s="546">
        <f t="shared" si="2"/>
        <v>22738000</v>
      </c>
      <c r="G20" s="547">
        <f>+'APROP 2019'!C32</f>
        <v>2195000</v>
      </c>
      <c r="H20" s="546">
        <f t="shared" si="3"/>
        <v>24933000</v>
      </c>
      <c r="I20" s="548" t="e">
        <f t="shared" si="1"/>
        <v>#REF!</v>
      </c>
      <c r="J20" s="535"/>
      <c r="K20" s="535"/>
      <c r="L20" s="535"/>
    </row>
    <row r="21" spans="1:12" ht="7.9" customHeight="1" x14ac:dyDescent="0.2">
      <c r="A21" s="543"/>
      <c r="B21" s="544"/>
      <c r="C21" s="544"/>
      <c r="D21" s="545"/>
      <c r="E21" s="545"/>
      <c r="F21" s="546"/>
      <c r="G21" s="547"/>
      <c r="H21" s="546"/>
      <c r="I21" s="548"/>
      <c r="J21" s="535"/>
      <c r="K21" s="535"/>
      <c r="L21" s="535"/>
    </row>
    <row r="22" spans="1:12" ht="15.75" x14ac:dyDescent="0.2">
      <c r="A22" s="551" t="s">
        <v>51</v>
      </c>
      <c r="B22" s="552">
        <f>SUM(B23:B38)</f>
        <v>296833881.27999997</v>
      </c>
      <c r="C22" s="552">
        <f>SUM(C23:C38)</f>
        <v>22747200</v>
      </c>
      <c r="D22" s="553" t="e">
        <f>SUM(D23:D38)</f>
        <v>#REF!</v>
      </c>
      <c r="E22" s="553" t="e">
        <f>SUM(E23:E38)</f>
        <v>#REF!</v>
      </c>
      <c r="F22" s="554" t="e">
        <f>SUM(B22:E22)</f>
        <v>#REF!</v>
      </c>
      <c r="G22" s="555">
        <f>SUM(G23:G38)</f>
        <v>60971200</v>
      </c>
      <c r="H22" s="554" t="e">
        <f t="shared" si="3"/>
        <v>#REF!</v>
      </c>
      <c r="I22" s="556" t="e">
        <f t="shared" ref="I22:I38" si="4">+H22/$H$55</f>
        <v>#REF!</v>
      </c>
      <c r="J22" s="535"/>
      <c r="K22" s="549"/>
      <c r="L22" s="535"/>
    </row>
    <row r="23" spans="1:12" ht="15" x14ac:dyDescent="0.2">
      <c r="A23" s="543" t="s">
        <v>32</v>
      </c>
      <c r="B23" s="544">
        <f>+'RECAUDO '!E10</f>
        <v>55667776</v>
      </c>
      <c r="C23" s="544">
        <f>+'SISTEMAS DE INF '!E9</f>
        <v>8817200</v>
      </c>
      <c r="D23" s="545">
        <f>+ITPA!E28</f>
        <v>3061200</v>
      </c>
      <c r="E23" s="545">
        <f>+'PROMOCION AL CONSUMO'!E9</f>
        <v>4300000</v>
      </c>
      <c r="F23" s="546">
        <f>SUM(B23:E23)</f>
        <v>71846176</v>
      </c>
      <c r="G23" s="547">
        <f>+'APROP 2019'!C34</f>
        <v>7311200</v>
      </c>
      <c r="H23" s="546">
        <f t="shared" si="3"/>
        <v>79157376</v>
      </c>
      <c r="I23" s="548" t="e">
        <f t="shared" si="4"/>
        <v>#REF!</v>
      </c>
      <c r="J23" s="535"/>
      <c r="K23" s="535"/>
      <c r="L23" s="535"/>
    </row>
    <row r="24" spans="1:12" ht="15" x14ac:dyDescent="0.2">
      <c r="A24" s="543" t="s">
        <v>78</v>
      </c>
      <c r="B24" s="544">
        <v>0</v>
      </c>
      <c r="C24" s="544">
        <v>0</v>
      </c>
      <c r="D24" s="545">
        <v>0</v>
      </c>
      <c r="E24" s="545">
        <v>0</v>
      </c>
      <c r="F24" s="546">
        <f t="shared" ref="F24:F38" si="5">SUM(B24:E24)</f>
        <v>0</v>
      </c>
      <c r="G24" s="547">
        <f>+'[2]APROP 2016'!C33</f>
        <v>0</v>
      </c>
      <c r="H24" s="546">
        <f t="shared" si="3"/>
        <v>0</v>
      </c>
      <c r="I24" s="548" t="e">
        <f t="shared" si="4"/>
        <v>#REF!</v>
      </c>
      <c r="J24" s="535"/>
      <c r="K24" s="535"/>
      <c r="L24" s="535"/>
    </row>
    <row r="25" spans="1:12" ht="15" x14ac:dyDescent="0.2">
      <c r="A25" s="543" t="s">
        <v>79</v>
      </c>
      <c r="B25" s="544">
        <f>+'RECAUDO '!E33</f>
        <v>14901600</v>
      </c>
      <c r="C25" s="544">
        <v>0</v>
      </c>
      <c r="D25" s="545">
        <v>0</v>
      </c>
      <c r="E25" s="545">
        <v>0</v>
      </c>
      <c r="F25" s="546">
        <f t="shared" si="5"/>
        <v>14901600</v>
      </c>
      <c r="G25" s="547">
        <f>+'APROP 2019'!C36</f>
        <v>1367400</v>
      </c>
      <c r="H25" s="546">
        <f t="shared" si="3"/>
        <v>16269000</v>
      </c>
      <c r="I25" s="548" t="e">
        <f t="shared" si="4"/>
        <v>#REF!</v>
      </c>
      <c r="J25" s="535"/>
      <c r="K25" s="535"/>
      <c r="L25" s="535"/>
    </row>
    <row r="26" spans="1:12" ht="15" x14ac:dyDescent="0.2">
      <c r="A26" s="543" t="s">
        <v>34</v>
      </c>
      <c r="B26" s="544">
        <f>+'RECAUDO '!E40</f>
        <v>5640000</v>
      </c>
      <c r="C26" s="544">
        <v>0</v>
      </c>
      <c r="D26" s="545">
        <f>+ITPA!E40</f>
        <v>2640000</v>
      </c>
      <c r="E26" s="545">
        <v>0</v>
      </c>
      <c r="F26" s="546">
        <f t="shared" si="5"/>
        <v>8280000</v>
      </c>
      <c r="G26" s="547">
        <f>+'[2]APROP 2016'!C35</f>
        <v>0</v>
      </c>
      <c r="H26" s="546">
        <f t="shared" si="3"/>
        <v>8280000</v>
      </c>
      <c r="I26" s="548" t="e">
        <f t="shared" si="4"/>
        <v>#REF!</v>
      </c>
      <c r="J26" s="535"/>
      <c r="K26" s="535"/>
      <c r="L26" s="535"/>
    </row>
    <row r="27" spans="1:12" ht="15" x14ac:dyDescent="0.2">
      <c r="A27" s="543" t="s">
        <v>35</v>
      </c>
      <c r="B27" s="544">
        <f>+'RECAUDO '!E41</f>
        <v>111835548</v>
      </c>
      <c r="C27" s="544">
        <f>+'SISTEMAS DE INF '!E21</f>
        <v>8200000</v>
      </c>
      <c r="D27" s="545">
        <f>+ITPA!E34</f>
        <v>0</v>
      </c>
      <c r="E27" s="545" t="e">
        <f>+'PROMOCION AL CONSUMO'!#REF!</f>
        <v>#REF!</v>
      </c>
      <c r="F27" s="546" t="e">
        <f t="shared" si="5"/>
        <v>#REF!</v>
      </c>
      <c r="G27" s="547">
        <f>+'[2]APROP 2016'!C36</f>
        <v>0</v>
      </c>
      <c r="H27" s="546" t="e">
        <f t="shared" si="3"/>
        <v>#REF!</v>
      </c>
      <c r="I27" s="548" t="e">
        <f t="shared" si="4"/>
        <v>#REF!</v>
      </c>
      <c r="J27" s="535"/>
      <c r="K27" s="535"/>
      <c r="L27" s="535"/>
    </row>
    <row r="28" spans="1:12" ht="15" x14ac:dyDescent="0.2">
      <c r="A28" s="543" t="s">
        <v>36</v>
      </c>
      <c r="B28" s="544">
        <f>+'RECAUDO '!E45+'RECAUDO '!E52</f>
        <v>29146575.279999997</v>
      </c>
      <c r="C28" s="544">
        <f>+'SISTEMAS DE INF '!E26</f>
        <v>80000</v>
      </c>
      <c r="D28" s="545">
        <f>+ITPA!E21</f>
        <v>0</v>
      </c>
      <c r="E28" s="545" t="e">
        <f>+'PROMOCION AL CONSUMO'!#REF!+AGROEXPO!#REF!</f>
        <v>#REF!</v>
      </c>
      <c r="F28" s="546" t="e">
        <f t="shared" si="5"/>
        <v>#REF!</v>
      </c>
      <c r="G28" s="547">
        <f>+'FUNCIONAMIENTO '!E27</f>
        <v>160000</v>
      </c>
      <c r="H28" s="546" t="e">
        <f t="shared" si="3"/>
        <v>#REF!</v>
      </c>
      <c r="I28" s="548" t="e">
        <f t="shared" si="4"/>
        <v>#REF!</v>
      </c>
      <c r="J28" s="535"/>
      <c r="K28" s="535"/>
      <c r="L28" s="535"/>
    </row>
    <row r="29" spans="1:12" ht="15" x14ac:dyDescent="0.2">
      <c r="A29" s="543" t="s">
        <v>80</v>
      </c>
      <c r="B29" s="544">
        <v>0</v>
      </c>
      <c r="C29" s="544">
        <f>+'SISTEMAS DE INF '!E24</f>
        <v>4000000</v>
      </c>
      <c r="D29" s="545">
        <v>0</v>
      </c>
      <c r="E29" s="545">
        <v>0</v>
      </c>
      <c r="F29" s="546">
        <f t="shared" si="5"/>
        <v>4000000</v>
      </c>
      <c r="G29" s="547">
        <f>+'[2]APROP 2016'!C38</f>
        <v>0</v>
      </c>
      <c r="H29" s="546">
        <f t="shared" si="3"/>
        <v>4000000</v>
      </c>
      <c r="I29" s="548" t="e">
        <f t="shared" si="4"/>
        <v>#REF!</v>
      </c>
      <c r="J29" s="535"/>
      <c r="K29" s="535"/>
      <c r="L29" s="535"/>
    </row>
    <row r="30" spans="1:12" ht="15" x14ac:dyDescent="0.2">
      <c r="A30" s="543" t="s">
        <v>37</v>
      </c>
      <c r="B30" s="544">
        <f>+'RECAUDO '!E27</f>
        <v>30495500</v>
      </c>
      <c r="C30" s="544">
        <f>+'SISTEMAS DE INF '!E17</f>
        <v>1140000</v>
      </c>
      <c r="D30" s="545">
        <f>+ITPA!E41</f>
        <v>3000000</v>
      </c>
      <c r="E30" s="545" t="e">
        <f>+'PROMOCION AL CONSUMO'!#REF!+AGROEXPO!F8</f>
        <v>#REF!</v>
      </c>
      <c r="F30" s="546" t="e">
        <f t="shared" si="5"/>
        <v>#REF!</v>
      </c>
      <c r="G30" s="547">
        <f>+'APROP 2019'!C41</f>
        <v>1200000</v>
      </c>
      <c r="H30" s="546" t="e">
        <f t="shared" si="3"/>
        <v>#REF!</v>
      </c>
      <c r="I30" s="548" t="e">
        <f t="shared" si="4"/>
        <v>#REF!</v>
      </c>
      <c r="J30" s="535"/>
      <c r="K30" s="535"/>
      <c r="L30" s="535"/>
    </row>
    <row r="31" spans="1:12" ht="15" x14ac:dyDescent="0.2">
      <c r="A31" s="543" t="s">
        <v>434</v>
      </c>
      <c r="B31" s="544">
        <f>+'RECAUDO '!E24</f>
        <v>3540000</v>
      </c>
      <c r="C31" s="544">
        <f>+'SISTEMAS DE INF '!E19</f>
        <v>30000</v>
      </c>
      <c r="D31" s="545" t="e">
        <f>+ITPA!#REF!</f>
        <v>#REF!</v>
      </c>
      <c r="E31" s="545" t="e">
        <f>+'PROMOCION AL CONSUMO'!#REF!</f>
        <v>#REF!</v>
      </c>
      <c r="F31" s="546" t="e">
        <f t="shared" si="5"/>
        <v>#REF!</v>
      </c>
      <c r="G31" s="547">
        <f>+'FUNCIONAMIENTO '!E21</f>
        <v>30000</v>
      </c>
      <c r="H31" s="546"/>
      <c r="I31" s="548"/>
      <c r="J31" s="535"/>
      <c r="K31" s="535"/>
      <c r="L31" s="535"/>
    </row>
    <row r="32" spans="1:12" ht="15" x14ac:dyDescent="0.2">
      <c r="A32" s="543" t="s">
        <v>81</v>
      </c>
      <c r="B32" s="544">
        <f>+'RECAUDO '!E59</f>
        <v>1516142</v>
      </c>
      <c r="C32" s="544">
        <f>+'SISTEMAS DE INF '!E30</f>
        <v>480000</v>
      </c>
      <c r="D32" s="545">
        <f>+ITPA!E46</f>
        <v>432000</v>
      </c>
      <c r="E32" s="545">
        <f>+'PROMOCION AL CONSUMO'!E13+AGROEXPO!F18</f>
        <v>3240000</v>
      </c>
      <c r="F32" s="546">
        <f t="shared" si="5"/>
        <v>5668142</v>
      </c>
      <c r="G32" s="547">
        <f>+'[2]APROP 2016'!C40</f>
        <v>0</v>
      </c>
      <c r="H32" s="546">
        <f t="shared" si="3"/>
        <v>5668142</v>
      </c>
      <c r="I32" s="548" t="e">
        <f t="shared" si="4"/>
        <v>#REF!</v>
      </c>
      <c r="J32" s="535"/>
      <c r="K32" s="535"/>
      <c r="L32" s="535"/>
    </row>
    <row r="33" spans="1:12" ht="15" x14ac:dyDescent="0.2">
      <c r="A33" s="543" t="s">
        <v>82</v>
      </c>
      <c r="B33" s="544">
        <f>+'RECAUDO '!E58</f>
        <v>30000000</v>
      </c>
      <c r="C33" s="544">
        <v>0</v>
      </c>
      <c r="D33" s="545">
        <v>0</v>
      </c>
      <c r="E33" s="545">
        <v>0</v>
      </c>
      <c r="F33" s="546">
        <f t="shared" si="5"/>
        <v>30000000</v>
      </c>
      <c r="G33" s="547">
        <f>+'[2]APROP 2016'!C41</f>
        <v>0</v>
      </c>
      <c r="H33" s="546">
        <f t="shared" si="3"/>
        <v>30000000</v>
      </c>
      <c r="I33" s="548" t="e">
        <f t="shared" si="4"/>
        <v>#REF!</v>
      </c>
      <c r="J33" s="535"/>
      <c r="K33" s="535"/>
      <c r="L33" s="535"/>
    </row>
    <row r="34" spans="1:12" ht="15" x14ac:dyDescent="0.2">
      <c r="A34" s="543" t="s">
        <v>83</v>
      </c>
      <c r="B34" s="544">
        <f>+'RECAUDO '!E39</f>
        <v>13680000</v>
      </c>
      <c r="C34" s="544">
        <v>0</v>
      </c>
      <c r="D34" s="545">
        <v>0</v>
      </c>
      <c r="E34" s="545">
        <v>0</v>
      </c>
      <c r="F34" s="546">
        <f t="shared" si="5"/>
        <v>13680000</v>
      </c>
      <c r="G34" s="547">
        <f>+'APROP 2019'!C45</f>
        <v>4101600</v>
      </c>
      <c r="H34" s="546">
        <f t="shared" si="3"/>
        <v>17781600</v>
      </c>
      <c r="I34" s="548" t="e">
        <f t="shared" si="4"/>
        <v>#REF!</v>
      </c>
      <c r="J34" s="535"/>
      <c r="K34" s="535"/>
      <c r="L34" s="535"/>
    </row>
    <row r="35" spans="1:12" ht="15" x14ac:dyDescent="0.2">
      <c r="A35" s="543" t="s">
        <v>106</v>
      </c>
      <c r="B35" s="544">
        <v>0</v>
      </c>
      <c r="C35" s="544">
        <v>0</v>
      </c>
      <c r="D35" s="545">
        <v>0</v>
      </c>
      <c r="E35" s="545">
        <v>0</v>
      </c>
      <c r="F35" s="546">
        <f t="shared" si="5"/>
        <v>0</v>
      </c>
      <c r="G35" s="547"/>
      <c r="H35" s="546">
        <f t="shared" si="3"/>
        <v>0</v>
      </c>
      <c r="I35" s="548" t="e">
        <f t="shared" si="4"/>
        <v>#REF!</v>
      </c>
      <c r="J35" s="535"/>
      <c r="K35" s="535"/>
      <c r="L35" s="535"/>
    </row>
    <row r="36" spans="1:12" ht="15" x14ac:dyDescent="0.2">
      <c r="A36" s="543" t="str">
        <f>+'APROP 2019'!B77</f>
        <v>Seguros, impuestos y gastos legales</v>
      </c>
      <c r="B36" s="544">
        <f>+'RECAUDO '!E61</f>
        <v>410740</v>
      </c>
      <c r="C36" s="544"/>
      <c r="D36" s="545">
        <v>0</v>
      </c>
      <c r="E36" s="545">
        <v>0</v>
      </c>
      <c r="F36" s="546">
        <f t="shared" si="5"/>
        <v>410740</v>
      </c>
      <c r="G36" s="547"/>
      <c r="H36" s="546"/>
      <c r="I36" s="548"/>
      <c r="J36" s="535"/>
      <c r="K36" s="535"/>
      <c r="L36" s="535"/>
    </row>
    <row r="37" spans="1:12" ht="15" x14ac:dyDescent="0.2">
      <c r="A37" s="543" t="s">
        <v>52</v>
      </c>
      <c r="B37" s="544">
        <v>0</v>
      </c>
      <c r="C37" s="544">
        <v>0</v>
      </c>
      <c r="D37" s="545">
        <v>0</v>
      </c>
      <c r="E37" s="545">
        <v>0</v>
      </c>
      <c r="F37" s="546">
        <f t="shared" si="5"/>
        <v>0</v>
      </c>
      <c r="G37" s="547">
        <f>+'APROP 2019'!C46</f>
        <v>14000000</v>
      </c>
      <c r="H37" s="546">
        <f t="shared" si="3"/>
        <v>14000000</v>
      </c>
      <c r="I37" s="548" t="e">
        <f t="shared" si="4"/>
        <v>#REF!</v>
      </c>
      <c r="J37" s="535"/>
      <c r="K37" s="535"/>
      <c r="L37" s="535"/>
    </row>
    <row r="38" spans="1:12" ht="15" x14ac:dyDescent="0.2">
      <c r="A38" s="543" t="s">
        <v>84</v>
      </c>
      <c r="B38" s="544">
        <v>0</v>
      </c>
      <c r="C38" s="544">
        <v>0</v>
      </c>
      <c r="D38" s="545">
        <v>0</v>
      </c>
      <c r="E38" s="545">
        <v>0</v>
      </c>
      <c r="F38" s="546">
        <f t="shared" si="5"/>
        <v>0</v>
      </c>
      <c r="G38" s="547">
        <f>+'APROP 2019'!C47</f>
        <v>32801000</v>
      </c>
      <c r="H38" s="546">
        <f t="shared" si="3"/>
        <v>32801000</v>
      </c>
      <c r="I38" s="548" t="e">
        <f t="shared" si="4"/>
        <v>#REF!</v>
      </c>
      <c r="J38" s="535"/>
      <c r="K38" s="535"/>
      <c r="L38" s="535"/>
    </row>
    <row r="39" spans="1:12" ht="7.9" customHeight="1" x14ac:dyDescent="0.2">
      <c r="A39" s="543"/>
      <c r="B39" s="544"/>
      <c r="C39" s="544"/>
      <c r="D39" s="545"/>
      <c r="E39" s="545"/>
      <c r="F39" s="546"/>
      <c r="G39" s="547"/>
      <c r="H39" s="546"/>
      <c r="I39" s="548"/>
      <c r="J39" s="535"/>
      <c r="K39" s="535"/>
      <c r="L39" s="535"/>
    </row>
    <row r="40" spans="1:12" ht="15.75" x14ac:dyDescent="0.2">
      <c r="A40" s="551" t="s">
        <v>86</v>
      </c>
      <c r="B40" s="552">
        <f>SUM(B41:B45)</f>
        <v>0</v>
      </c>
      <c r="C40" s="552">
        <f>SUM(C41:C45)</f>
        <v>0</v>
      </c>
      <c r="D40" s="553">
        <f>SUM(D41:D45)</f>
        <v>0</v>
      </c>
      <c r="E40" s="553" t="e">
        <f>SUM(E41:E45)</f>
        <v>#REF!</v>
      </c>
      <c r="F40" s="554" t="e">
        <f>SUM(B40:E40)</f>
        <v>#REF!</v>
      </c>
      <c r="G40" s="555">
        <f>SUM(G41:G45)</f>
        <v>0</v>
      </c>
      <c r="H40" s="554" t="e">
        <f t="shared" ref="H40:H45" si="6">+F40+G40</f>
        <v>#REF!</v>
      </c>
      <c r="I40" s="556" t="e">
        <f>+H40/$H$55</f>
        <v>#REF!</v>
      </c>
      <c r="J40" s="535"/>
      <c r="K40" s="535"/>
      <c r="L40" s="535"/>
    </row>
    <row r="41" spans="1:12" ht="15" x14ac:dyDescent="0.2">
      <c r="A41" s="543" t="s">
        <v>107</v>
      </c>
      <c r="B41" s="544"/>
      <c r="C41" s="544"/>
      <c r="D41" s="545">
        <f>+ITPA!E47</f>
        <v>0</v>
      </c>
      <c r="E41" s="545"/>
      <c r="F41" s="546">
        <f>SUM(B41:E41)</f>
        <v>0</v>
      </c>
      <c r="G41" s="547"/>
      <c r="H41" s="546">
        <f t="shared" si="6"/>
        <v>0</v>
      </c>
      <c r="I41" s="548" t="e">
        <f>+H41/$H$55</f>
        <v>#REF!</v>
      </c>
      <c r="J41" s="535"/>
      <c r="K41" s="535"/>
      <c r="L41" s="535"/>
    </row>
    <row r="42" spans="1:12" ht="15" x14ac:dyDescent="0.2">
      <c r="A42" s="543" t="s">
        <v>568</v>
      </c>
      <c r="B42" s="544"/>
      <c r="C42" s="544"/>
      <c r="D42" s="545"/>
      <c r="E42" s="545" t="e">
        <f>+'PROMOCION AL CONSUMO'!E15</f>
        <v>#REF!</v>
      </c>
      <c r="F42" s="546" t="e">
        <f t="shared" ref="F42:F45" si="7">SUM(B42:E42)</f>
        <v>#REF!</v>
      </c>
      <c r="G42" s="547"/>
      <c r="H42" s="546" t="e">
        <f t="shared" si="6"/>
        <v>#REF!</v>
      </c>
      <c r="I42" s="548"/>
      <c r="J42" s="535"/>
      <c r="K42" s="535"/>
      <c r="L42" s="535"/>
    </row>
    <row r="43" spans="1:12" ht="15" hidden="1" x14ac:dyDescent="0.2">
      <c r="A43" s="543" t="s">
        <v>163</v>
      </c>
      <c r="B43" s="544"/>
      <c r="C43" s="544"/>
      <c r="D43" s="545"/>
      <c r="E43" s="545"/>
      <c r="F43" s="546">
        <f t="shared" si="7"/>
        <v>0</v>
      </c>
      <c r="G43" s="547"/>
      <c r="H43" s="546">
        <f t="shared" si="6"/>
        <v>0</v>
      </c>
      <c r="I43" s="548"/>
      <c r="J43" s="535"/>
      <c r="K43" s="535"/>
      <c r="L43" s="535"/>
    </row>
    <row r="44" spans="1:12" ht="15" hidden="1" x14ac:dyDescent="0.2">
      <c r="A44" s="543" t="s">
        <v>164</v>
      </c>
      <c r="B44" s="544"/>
      <c r="C44" s="544"/>
      <c r="D44" s="545"/>
      <c r="E44" s="545"/>
      <c r="F44" s="546">
        <f t="shared" si="7"/>
        <v>0</v>
      </c>
      <c r="G44" s="547"/>
      <c r="H44" s="546">
        <f t="shared" si="6"/>
        <v>0</v>
      </c>
      <c r="I44" s="548"/>
      <c r="J44" s="535"/>
      <c r="K44" s="535"/>
      <c r="L44" s="535"/>
    </row>
    <row r="45" spans="1:12" ht="15" hidden="1" x14ac:dyDescent="0.2">
      <c r="A45" s="543" t="s">
        <v>165</v>
      </c>
      <c r="B45" s="544"/>
      <c r="C45" s="544"/>
      <c r="D45" s="545"/>
      <c r="E45" s="545"/>
      <c r="F45" s="546">
        <f t="shared" si="7"/>
        <v>0</v>
      </c>
      <c r="G45" s="547"/>
      <c r="H45" s="546">
        <f t="shared" si="6"/>
        <v>0</v>
      </c>
      <c r="I45" s="548"/>
      <c r="J45" s="535"/>
      <c r="K45" s="535"/>
      <c r="L45" s="535"/>
    </row>
    <row r="46" spans="1:12" ht="7.9" customHeight="1" x14ac:dyDescent="0.2">
      <c r="A46" s="543"/>
      <c r="B46" s="544"/>
      <c r="C46" s="544"/>
      <c r="D46" s="545"/>
      <c r="E46" s="545"/>
      <c r="F46" s="546"/>
      <c r="G46" s="547"/>
      <c r="H46" s="546"/>
      <c r="I46" s="548"/>
      <c r="J46" s="535"/>
      <c r="K46" s="535"/>
      <c r="L46" s="535"/>
    </row>
    <row r="47" spans="1:12" ht="15.75" x14ac:dyDescent="0.2">
      <c r="A47" s="557" t="s">
        <v>166</v>
      </c>
      <c r="B47" s="558">
        <f>+B9+B22+B40</f>
        <v>774071482.21000004</v>
      </c>
      <c r="C47" s="558">
        <f>+C9+C22+C40</f>
        <v>73261678</v>
      </c>
      <c r="D47" s="559" t="e">
        <f>+D9+D22+D40</f>
        <v>#REF!</v>
      </c>
      <c r="E47" s="559" t="e">
        <f>+E9+E22+E40</f>
        <v>#REF!</v>
      </c>
      <c r="F47" s="560" t="e">
        <f>SUM(B47:E47)</f>
        <v>#REF!</v>
      </c>
      <c r="G47" s="561">
        <f>+G9+G22+G40</f>
        <v>206671065.965</v>
      </c>
      <c r="H47" s="560" t="e">
        <f>+G47+F47</f>
        <v>#REF!</v>
      </c>
      <c r="I47" s="562" t="e">
        <f>+H47/$H$55</f>
        <v>#REF!</v>
      </c>
      <c r="J47" s="535"/>
      <c r="K47" s="535"/>
      <c r="L47" s="535"/>
    </row>
    <row r="48" spans="1:12" ht="7.9" customHeight="1" x14ac:dyDescent="0.2">
      <c r="A48" s="543"/>
      <c r="B48" s="544"/>
      <c r="C48" s="544"/>
      <c r="D48" s="563"/>
      <c r="E48" s="563"/>
      <c r="F48" s="546"/>
      <c r="G48" s="547"/>
      <c r="H48" s="546"/>
      <c r="I48" s="548"/>
      <c r="J48" s="535"/>
      <c r="K48" s="535"/>
      <c r="L48" s="535"/>
    </row>
    <row r="49" spans="1:12" ht="15.75" x14ac:dyDescent="0.2">
      <c r="A49" s="551" t="s">
        <v>572</v>
      </c>
      <c r="B49" s="544"/>
      <c r="C49" s="544"/>
      <c r="D49" s="563"/>
      <c r="E49" s="563"/>
      <c r="F49" s="546">
        <f>SUM(B49:E49)</f>
        <v>0</v>
      </c>
      <c r="G49" s="547">
        <f>+'APROP 2019'!C48</f>
        <v>467899999.95888019</v>
      </c>
      <c r="H49" s="546">
        <f>+F49+G49</f>
        <v>467899999.95888019</v>
      </c>
      <c r="I49" s="548" t="e">
        <f>+H49/$H$55</f>
        <v>#REF!</v>
      </c>
      <c r="J49" s="535"/>
      <c r="K49" s="535"/>
      <c r="L49" s="535"/>
    </row>
    <row r="50" spans="1:12" ht="7.9" customHeight="1" x14ac:dyDescent="0.2">
      <c r="A50" s="543"/>
      <c r="B50" s="544"/>
      <c r="C50" s="544"/>
      <c r="D50" s="563"/>
      <c r="E50" s="563"/>
      <c r="F50" s="546"/>
      <c r="G50" s="547"/>
      <c r="H50" s="546"/>
      <c r="I50" s="548"/>
      <c r="J50" s="535"/>
      <c r="K50" s="535"/>
      <c r="L50" s="535"/>
    </row>
    <row r="51" spans="1:12" ht="15.75" x14ac:dyDescent="0.2">
      <c r="A51" s="551" t="s">
        <v>167</v>
      </c>
      <c r="B51" s="544"/>
      <c r="C51" s="544"/>
      <c r="D51" s="563"/>
      <c r="E51" s="563"/>
      <c r="F51" s="546"/>
      <c r="G51" s="547"/>
      <c r="H51" s="546"/>
      <c r="I51" s="548"/>
      <c r="J51" s="535"/>
      <c r="K51" s="535"/>
      <c r="L51" s="535"/>
    </row>
    <row r="52" spans="1:12" ht="7.9" customHeight="1" thickBot="1" x14ac:dyDescent="0.25">
      <c r="A52" s="564"/>
      <c r="B52" s="565"/>
      <c r="C52" s="565"/>
      <c r="D52" s="566"/>
      <c r="E52" s="566"/>
      <c r="F52" s="567"/>
      <c r="G52" s="568"/>
      <c r="H52" s="567"/>
      <c r="I52" s="569"/>
      <c r="J52" s="535"/>
      <c r="K52" s="535"/>
      <c r="L52" s="535"/>
    </row>
    <row r="53" spans="1:12" ht="16.5" thickBot="1" x14ac:dyDescent="0.25">
      <c r="A53" s="570" t="s">
        <v>168</v>
      </c>
      <c r="B53" s="571">
        <f>+B47+B49+B51</f>
        <v>774071482.21000004</v>
      </c>
      <c r="C53" s="571">
        <f>+C47+C49+C51</f>
        <v>73261678</v>
      </c>
      <c r="D53" s="572" t="e">
        <f>+D47+D49+D51</f>
        <v>#REF!</v>
      </c>
      <c r="E53" s="571" t="e">
        <f>+E47+E49+E51</f>
        <v>#REF!</v>
      </c>
      <c r="F53" s="571" t="e">
        <f>SUM(B53:E53)</f>
        <v>#REF!</v>
      </c>
      <c r="G53" s="572">
        <f>+G47+G49+G51</f>
        <v>674571065.92388022</v>
      </c>
      <c r="H53" s="571" t="e">
        <f>+G53+F53</f>
        <v>#REF!</v>
      </c>
      <c r="I53" s="573" t="e">
        <f>+H53/H55</f>
        <v>#REF!</v>
      </c>
      <c r="J53" s="549"/>
      <c r="K53" s="549"/>
      <c r="L53" s="549"/>
    </row>
    <row r="54" spans="1:12" ht="16.5" thickBot="1" x14ac:dyDescent="0.25">
      <c r="A54" s="574" t="s">
        <v>169</v>
      </c>
      <c r="B54" s="575"/>
      <c r="C54" s="575"/>
      <c r="D54" s="576"/>
      <c r="E54" s="577"/>
      <c r="F54" s="578"/>
      <c r="G54" s="579"/>
      <c r="H54" s="580" t="e">
        <f>+'APROP 2019'!C18-'CONSOLIDADO ANEXO 2 '!H53</f>
        <v>#REF!</v>
      </c>
      <c r="I54" s="581" t="e">
        <f>+H54/H55</f>
        <v>#REF!</v>
      </c>
      <c r="J54" s="549"/>
      <c r="K54" s="549"/>
      <c r="L54" s="549"/>
    </row>
    <row r="55" spans="1:12" ht="16.5" thickBot="1" x14ac:dyDescent="0.25">
      <c r="A55" s="570" t="s">
        <v>170</v>
      </c>
      <c r="B55" s="582"/>
      <c r="C55" s="582"/>
      <c r="D55" s="583"/>
      <c r="E55" s="584"/>
      <c r="F55" s="585"/>
      <c r="G55" s="586"/>
      <c r="H55" s="571" t="e">
        <f>+H53+H54</f>
        <v>#REF!</v>
      </c>
      <c r="I55" s="581" t="e">
        <f>+I53+I54</f>
        <v>#REF!</v>
      </c>
      <c r="J55" s="549"/>
      <c r="K55" s="549"/>
      <c r="L55" s="549"/>
    </row>
    <row r="56" spans="1:12" ht="15" x14ac:dyDescent="0.2">
      <c r="A56" s="542"/>
      <c r="B56" s="550"/>
      <c r="C56" s="550"/>
      <c r="D56" s="550"/>
      <c r="E56" s="550"/>
      <c r="F56" s="550"/>
      <c r="G56" s="550"/>
      <c r="H56" s="550"/>
      <c r="I56" s="587"/>
      <c r="J56" s="535"/>
      <c r="K56" s="535"/>
      <c r="L56" s="535"/>
    </row>
    <row r="57" spans="1:12" s="1285" customFormat="1" ht="12.75" x14ac:dyDescent="0.2">
      <c r="A57" s="1282"/>
      <c r="B57" s="1283"/>
      <c r="C57" s="1283"/>
      <c r="D57" s="1283"/>
      <c r="E57" s="1283"/>
      <c r="F57" s="1283"/>
      <c r="G57" s="1283"/>
      <c r="H57" s="1283"/>
      <c r="I57" s="1283"/>
      <c r="J57" s="1284"/>
      <c r="K57" s="1284"/>
      <c r="L57" s="1284"/>
    </row>
    <row r="58" spans="1:12" ht="15" x14ac:dyDescent="0.2">
      <c r="A58" s="542"/>
      <c r="B58" s="550"/>
      <c r="C58" s="550"/>
      <c r="D58" s="550"/>
      <c r="E58" s="550"/>
      <c r="F58" s="550"/>
      <c r="G58" s="1283"/>
      <c r="H58" s="550"/>
      <c r="I58" s="550"/>
      <c r="J58" s="535"/>
      <c r="K58" s="535"/>
      <c r="L58" s="535"/>
    </row>
    <row r="59" spans="1:12" ht="15" x14ac:dyDescent="0.2">
      <c r="A59" s="542"/>
      <c r="B59" s="550"/>
      <c r="C59" s="550"/>
      <c r="D59" s="550"/>
      <c r="E59" s="550"/>
      <c r="F59" s="550"/>
      <c r="G59" s="1283"/>
      <c r="H59" s="550"/>
      <c r="I59" s="550"/>
      <c r="J59" s="535"/>
      <c r="K59" s="535"/>
      <c r="L59" s="535"/>
    </row>
    <row r="60" spans="1:12" ht="15" x14ac:dyDescent="0.2">
      <c r="A60" s="542"/>
      <c r="B60" s="550"/>
      <c r="C60" s="550"/>
      <c r="D60" s="550"/>
      <c r="E60" s="550"/>
      <c r="F60" s="550"/>
      <c r="G60" s="550"/>
      <c r="H60" s="550"/>
      <c r="I60" s="550"/>
      <c r="J60" s="535"/>
      <c r="K60" s="535"/>
      <c r="L60" s="535"/>
    </row>
  </sheetData>
  <mergeCells count="7">
    <mergeCell ref="H6:H8"/>
    <mergeCell ref="I6:I7"/>
    <mergeCell ref="A6:A8"/>
    <mergeCell ref="F7:F8"/>
    <mergeCell ref="A4:I4"/>
    <mergeCell ref="B6:F6"/>
    <mergeCell ref="G6:G8"/>
  </mergeCells>
  <printOptions horizontalCentered="1"/>
  <pageMargins left="0.19685039370078741" right="0.19685039370078741" top="0.39370078740157483" bottom="0.39370078740157483" header="0.31496062992125984" footer="0.31496062992125984"/>
  <pageSetup scale="70"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1"/>
  <sheetViews>
    <sheetView zoomScale="70" zoomScaleNormal="70" workbookViewId="0">
      <selection activeCell="F14" sqref="F14"/>
    </sheetView>
  </sheetViews>
  <sheetFormatPr baseColWidth="10" defaultRowHeight="15" outlineLevelCol="1" x14ac:dyDescent="0.2"/>
  <cols>
    <col min="1" max="1" width="33.7109375" style="85" customWidth="1"/>
    <col min="2" max="2" width="14.85546875" style="85" customWidth="1" outlineLevel="1"/>
    <col min="3" max="3" width="12.85546875" style="85" customWidth="1" outlineLevel="1"/>
    <col min="4" max="4" width="18.42578125" style="85" customWidth="1" outlineLevel="1"/>
    <col min="5" max="5" width="17.140625" style="312" bestFit="1" customWidth="1"/>
    <col min="6" max="6" width="17.140625" style="312" customWidth="1" outlineLevel="1"/>
    <col min="7" max="7" width="14.140625" style="429" customWidth="1" outlineLevel="1"/>
    <col min="8" max="8" width="56.7109375" style="85" customWidth="1" outlineLevel="1"/>
    <col min="9" max="214" width="11.5703125" style="85"/>
    <col min="215" max="215" width="33.7109375" style="85" customWidth="1"/>
    <col min="216" max="216" width="14.85546875" style="85" customWidth="1"/>
    <col min="217" max="217" width="12.85546875" style="85" customWidth="1"/>
    <col min="218" max="218" width="16.28515625" style="85" customWidth="1"/>
    <col min="219" max="219" width="17.140625" style="85" bestFit="1" customWidth="1"/>
    <col min="220" max="220" width="17.140625" style="85" customWidth="1"/>
    <col min="221" max="221" width="14.140625" style="85" customWidth="1"/>
    <col min="222" max="222" width="56.7109375" style="85" customWidth="1"/>
    <col min="223" max="223" width="16" style="85" customWidth="1"/>
    <col min="224" max="224" width="17.140625" style="85" bestFit="1" customWidth="1"/>
    <col min="225" max="232" width="0" style="85" hidden="1" customWidth="1"/>
    <col min="233" max="233" width="18.85546875" style="85" bestFit="1" customWidth="1"/>
    <col min="234" max="234" width="17.140625" style="85" customWidth="1"/>
    <col min="235" max="235" width="10.28515625" style="85" customWidth="1"/>
    <col min="236" max="236" width="16" style="85" bestFit="1" customWidth="1"/>
    <col min="237" max="237" width="19.42578125" style="85" customWidth="1"/>
    <col min="238" max="238" width="18.7109375" style="85" customWidth="1"/>
    <col min="239" max="239" width="10.28515625" style="85" customWidth="1"/>
    <col min="240" max="240" width="16" style="85" bestFit="1" customWidth="1"/>
    <col min="241" max="241" width="18.42578125" style="85" customWidth="1"/>
    <col min="242" max="242" width="13.28515625" style="85" customWidth="1"/>
    <col min="243" max="243" width="16.28515625" style="85" customWidth="1"/>
    <col min="244" max="244" width="19.28515625" style="85" bestFit="1" customWidth="1"/>
    <col min="245" max="245" width="19.42578125" style="85" bestFit="1" customWidth="1"/>
    <col min="246" max="249" width="16" style="85" bestFit="1" customWidth="1"/>
    <col min="250" max="250" width="18" style="85" bestFit="1" customWidth="1"/>
    <col min="251" max="470" width="11.5703125" style="85"/>
    <col min="471" max="471" width="33.7109375" style="85" customWidth="1"/>
    <col min="472" max="472" width="14.85546875" style="85" customWidth="1"/>
    <col min="473" max="473" width="12.85546875" style="85" customWidth="1"/>
    <col min="474" max="474" width="16.28515625" style="85" customWidth="1"/>
    <col min="475" max="475" width="17.140625" style="85" bestFit="1" customWidth="1"/>
    <col min="476" max="476" width="17.140625" style="85" customWidth="1"/>
    <col min="477" max="477" width="14.140625" style="85" customWidth="1"/>
    <col min="478" max="478" width="56.7109375" style="85" customWidth="1"/>
    <col min="479" max="479" width="16" style="85" customWidth="1"/>
    <col min="480" max="480" width="17.140625" style="85" bestFit="1" customWidth="1"/>
    <col min="481" max="488" width="0" style="85" hidden="1" customWidth="1"/>
    <col min="489" max="489" width="18.85546875" style="85" bestFit="1" customWidth="1"/>
    <col min="490" max="490" width="17.140625" style="85" customWidth="1"/>
    <col min="491" max="491" width="10.28515625" style="85" customWidth="1"/>
    <col min="492" max="492" width="16" style="85" bestFit="1" customWidth="1"/>
    <col min="493" max="493" width="19.42578125" style="85" customWidth="1"/>
    <col min="494" max="494" width="18.7109375" style="85" customWidth="1"/>
    <col min="495" max="495" width="10.28515625" style="85" customWidth="1"/>
    <col min="496" max="496" width="16" style="85" bestFit="1" customWidth="1"/>
    <col min="497" max="497" width="18.42578125" style="85" customWidth="1"/>
    <col min="498" max="498" width="13.28515625" style="85" customWidth="1"/>
    <col min="499" max="499" width="16.28515625" style="85" customWidth="1"/>
    <col min="500" max="500" width="19.28515625" style="85" bestFit="1" customWidth="1"/>
    <col min="501" max="501" width="19.42578125" style="85" bestFit="1" customWidth="1"/>
    <col min="502" max="505" width="16" style="85" bestFit="1" customWidth="1"/>
    <col min="506" max="506" width="18" style="85" bestFit="1" customWidth="1"/>
    <col min="507" max="726" width="11.5703125" style="85"/>
    <col min="727" max="727" width="33.7109375" style="85" customWidth="1"/>
    <col min="728" max="728" width="14.85546875" style="85" customWidth="1"/>
    <col min="729" max="729" width="12.85546875" style="85" customWidth="1"/>
    <col min="730" max="730" width="16.28515625" style="85" customWidth="1"/>
    <col min="731" max="731" width="17.140625" style="85" bestFit="1" customWidth="1"/>
    <col min="732" max="732" width="17.140625" style="85" customWidth="1"/>
    <col min="733" max="733" width="14.140625" style="85" customWidth="1"/>
    <col min="734" max="734" width="56.7109375" style="85" customWidth="1"/>
    <col min="735" max="735" width="16" style="85" customWidth="1"/>
    <col min="736" max="736" width="17.140625" style="85" bestFit="1" customWidth="1"/>
    <col min="737" max="744" width="0" style="85" hidden="1" customWidth="1"/>
    <col min="745" max="745" width="18.85546875" style="85" bestFit="1" customWidth="1"/>
    <col min="746" max="746" width="17.140625" style="85" customWidth="1"/>
    <col min="747" max="747" width="10.28515625" style="85" customWidth="1"/>
    <col min="748" max="748" width="16" style="85" bestFit="1" customWidth="1"/>
    <col min="749" max="749" width="19.42578125" style="85" customWidth="1"/>
    <col min="750" max="750" width="18.7109375" style="85" customWidth="1"/>
    <col min="751" max="751" width="10.28515625" style="85" customWidth="1"/>
    <col min="752" max="752" width="16" style="85" bestFit="1" customWidth="1"/>
    <col min="753" max="753" width="18.42578125" style="85" customWidth="1"/>
    <col min="754" max="754" width="13.28515625" style="85" customWidth="1"/>
    <col min="755" max="755" width="16.28515625" style="85" customWidth="1"/>
    <col min="756" max="756" width="19.28515625" style="85" bestFit="1" customWidth="1"/>
    <col min="757" max="757" width="19.42578125" style="85" bestFit="1" customWidth="1"/>
    <col min="758" max="761" width="16" style="85" bestFit="1" customWidth="1"/>
    <col min="762" max="762" width="18" style="85" bestFit="1" customWidth="1"/>
    <col min="763" max="982" width="11.5703125" style="85"/>
    <col min="983" max="983" width="33.7109375" style="85" customWidth="1"/>
    <col min="984" max="984" width="14.85546875" style="85" customWidth="1"/>
    <col min="985" max="985" width="12.85546875" style="85" customWidth="1"/>
    <col min="986" max="986" width="16.28515625" style="85" customWidth="1"/>
    <col min="987" max="987" width="17.140625" style="85" bestFit="1" customWidth="1"/>
    <col min="988" max="988" width="17.140625" style="85" customWidth="1"/>
    <col min="989" max="989" width="14.140625" style="85" customWidth="1"/>
    <col min="990" max="990" width="56.7109375" style="85" customWidth="1"/>
    <col min="991" max="991" width="16" style="85" customWidth="1"/>
    <col min="992" max="992" width="17.140625" style="85" bestFit="1" customWidth="1"/>
    <col min="993" max="1000" width="0" style="85" hidden="1" customWidth="1"/>
    <col min="1001" max="1001" width="18.85546875" style="85" bestFit="1" customWidth="1"/>
    <col min="1002" max="1002" width="17.140625" style="85" customWidth="1"/>
    <col min="1003" max="1003" width="10.28515625" style="85" customWidth="1"/>
    <col min="1004" max="1004" width="16" style="85" bestFit="1" customWidth="1"/>
    <col min="1005" max="1005" width="19.42578125" style="85" customWidth="1"/>
    <col min="1006" max="1006" width="18.7109375" style="85" customWidth="1"/>
    <col min="1007" max="1007" width="10.28515625" style="85" customWidth="1"/>
    <col min="1008" max="1008" width="16" style="85" bestFit="1" customWidth="1"/>
    <col min="1009" max="1009" width="18.42578125" style="85" customWidth="1"/>
    <col min="1010" max="1010" width="13.28515625" style="85" customWidth="1"/>
    <col min="1011" max="1011" width="16.28515625" style="85" customWidth="1"/>
    <col min="1012" max="1012" width="19.28515625" style="85" bestFit="1" customWidth="1"/>
    <col min="1013" max="1013" width="19.42578125" style="85" bestFit="1" customWidth="1"/>
    <col min="1014" max="1017" width="16" style="85" bestFit="1" customWidth="1"/>
    <col min="1018" max="1018" width="18" style="85" bestFit="1" customWidth="1"/>
    <col min="1019" max="1238" width="11.5703125" style="85"/>
    <col min="1239" max="1239" width="33.7109375" style="85" customWidth="1"/>
    <col min="1240" max="1240" width="14.85546875" style="85" customWidth="1"/>
    <col min="1241" max="1241" width="12.85546875" style="85" customWidth="1"/>
    <col min="1242" max="1242" width="16.28515625" style="85" customWidth="1"/>
    <col min="1243" max="1243" width="17.140625" style="85" bestFit="1" customWidth="1"/>
    <col min="1244" max="1244" width="17.140625" style="85" customWidth="1"/>
    <col min="1245" max="1245" width="14.140625" style="85" customWidth="1"/>
    <col min="1246" max="1246" width="56.7109375" style="85" customWidth="1"/>
    <col min="1247" max="1247" width="16" style="85" customWidth="1"/>
    <col min="1248" max="1248" width="17.140625" style="85" bestFit="1" customWidth="1"/>
    <col min="1249" max="1256" width="0" style="85" hidden="1" customWidth="1"/>
    <col min="1257" max="1257" width="18.85546875" style="85" bestFit="1" customWidth="1"/>
    <col min="1258" max="1258" width="17.140625" style="85" customWidth="1"/>
    <col min="1259" max="1259" width="10.28515625" style="85" customWidth="1"/>
    <col min="1260" max="1260" width="16" style="85" bestFit="1" customWidth="1"/>
    <col min="1261" max="1261" width="19.42578125" style="85" customWidth="1"/>
    <col min="1262" max="1262" width="18.7109375" style="85" customWidth="1"/>
    <col min="1263" max="1263" width="10.28515625" style="85" customWidth="1"/>
    <col min="1264" max="1264" width="16" style="85" bestFit="1" customWidth="1"/>
    <col min="1265" max="1265" width="18.42578125" style="85" customWidth="1"/>
    <col min="1266" max="1266" width="13.28515625" style="85" customWidth="1"/>
    <col min="1267" max="1267" width="16.28515625" style="85" customWidth="1"/>
    <col min="1268" max="1268" width="19.28515625" style="85" bestFit="1" customWidth="1"/>
    <col min="1269" max="1269" width="19.42578125" style="85" bestFit="1" customWidth="1"/>
    <col min="1270" max="1273" width="16" style="85" bestFit="1" customWidth="1"/>
    <col min="1274" max="1274" width="18" style="85" bestFit="1" customWidth="1"/>
    <col min="1275" max="1494" width="11.5703125" style="85"/>
    <col min="1495" max="1495" width="33.7109375" style="85" customWidth="1"/>
    <col min="1496" max="1496" width="14.85546875" style="85" customWidth="1"/>
    <col min="1497" max="1497" width="12.85546875" style="85" customWidth="1"/>
    <col min="1498" max="1498" width="16.28515625" style="85" customWidth="1"/>
    <col min="1499" max="1499" width="17.140625" style="85" bestFit="1" customWidth="1"/>
    <col min="1500" max="1500" width="17.140625" style="85" customWidth="1"/>
    <col min="1501" max="1501" width="14.140625" style="85" customWidth="1"/>
    <col min="1502" max="1502" width="56.7109375" style="85" customWidth="1"/>
    <col min="1503" max="1503" width="16" style="85" customWidth="1"/>
    <col min="1504" max="1504" width="17.140625" style="85" bestFit="1" customWidth="1"/>
    <col min="1505" max="1512" width="0" style="85" hidden="1" customWidth="1"/>
    <col min="1513" max="1513" width="18.85546875" style="85" bestFit="1" customWidth="1"/>
    <col min="1514" max="1514" width="17.140625" style="85" customWidth="1"/>
    <col min="1515" max="1515" width="10.28515625" style="85" customWidth="1"/>
    <col min="1516" max="1516" width="16" style="85" bestFit="1" customWidth="1"/>
    <col min="1517" max="1517" width="19.42578125" style="85" customWidth="1"/>
    <col min="1518" max="1518" width="18.7109375" style="85" customWidth="1"/>
    <col min="1519" max="1519" width="10.28515625" style="85" customWidth="1"/>
    <col min="1520" max="1520" width="16" style="85" bestFit="1" customWidth="1"/>
    <col min="1521" max="1521" width="18.42578125" style="85" customWidth="1"/>
    <col min="1522" max="1522" width="13.28515625" style="85" customWidth="1"/>
    <col min="1523" max="1523" width="16.28515625" style="85" customWidth="1"/>
    <col min="1524" max="1524" width="19.28515625" style="85" bestFit="1" customWidth="1"/>
    <col min="1525" max="1525" width="19.42578125" style="85" bestFit="1" customWidth="1"/>
    <col min="1526" max="1529" width="16" style="85" bestFit="1" customWidth="1"/>
    <col min="1530" max="1530" width="18" style="85" bestFit="1" customWidth="1"/>
    <col min="1531" max="1750" width="11.5703125" style="85"/>
    <col min="1751" max="1751" width="33.7109375" style="85" customWidth="1"/>
    <col min="1752" max="1752" width="14.85546875" style="85" customWidth="1"/>
    <col min="1753" max="1753" width="12.85546875" style="85" customWidth="1"/>
    <col min="1754" max="1754" width="16.28515625" style="85" customWidth="1"/>
    <col min="1755" max="1755" width="17.140625" style="85" bestFit="1" customWidth="1"/>
    <col min="1756" max="1756" width="17.140625" style="85" customWidth="1"/>
    <col min="1757" max="1757" width="14.140625" style="85" customWidth="1"/>
    <col min="1758" max="1758" width="56.7109375" style="85" customWidth="1"/>
    <col min="1759" max="1759" width="16" style="85" customWidth="1"/>
    <col min="1760" max="1760" width="17.140625" style="85" bestFit="1" customWidth="1"/>
    <col min="1761" max="1768" width="0" style="85" hidden="1" customWidth="1"/>
    <col min="1769" max="1769" width="18.85546875" style="85" bestFit="1" customWidth="1"/>
    <col min="1770" max="1770" width="17.140625" style="85" customWidth="1"/>
    <col min="1771" max="1771" width="10.28515625" style="85" customWidth="1"/>
    <col min="1772" max="1772" width="16" style="85" bestFit="1" customWidth="1"/>
    <col min="1773" max="1773" width="19.42578125" style="85" customWidth="1"/>
    <col min="1774" max="1774" width="18.7109375" style="85" customWidth="1"/>
    <col min="1775" max="1775" width="10.28515625" style="85" customWidth="1"/>
    <col min="1776" max="1776" width="16" style="85" bestFit="1" customWidth="1"/>
    <col min="1777" max="1777" width="18.42578125" style="85" customWidth="1"/>
    <col min="1778" max="1778" width="13.28515625" style="85" customWidth="1"/>
    <col min="1779" max="1779" width="16.28515625" style="85" customWidth="1"/>
    <col min="1780" max="1780" width="19.28515625" style="85" bestFit="1" customWidth="1"/>
    <col min="1781" max="1781" width="19.42578125" style="85" bestFit="1" customWidth="1"/>
    <col min="1782" max="1785" width="16" style="85" bestFit="1" customWidth="1"/>
    <col min="1786" max="1786" width="18" style="85" bestFit="1" customWidth="1"/>
    <col min="1787" max="2006" width="11.5703125" style="85"/>
    <col min="2007" max="2007" width="33.7109375" style="85" customWidth="1"/>
    <col min="2008" max="2008" width="14.85546875" style="85" customWidth="1"/>
    <col min="2009" max="2009" width="12.85546875" style="85" customWidth="1"/>
    <col min="2010" max="2010" width="16.28515625" style="85" customWidth="1"/>
    <col min="2011" max="2011" width="17.140625" style="85" bestFit="1" customWidth="1"/>
    <col min="2012" max="2012" width="17.140625" style="85" customWidth="1"/>
    <col min="2013" max="2013" width="14.140625" style="85" customWidth="1"/>
    <col min="2014" max="2014" width="56.7109375" style="85" customWidth="1"/>
    <col min="2015" max="2015" width="16" style="85" customWidth="1"/>
    <col min="2016" max="2016" width="17.140625" style="85" bestFit="1" customWidth="1"/>
    <col min="2017" max="2024" width="0" style="85" hidden="1" customWidth="1"/>
    <col min="2025" max="2025" width="18.85546875" style="85" bestFit="1" customWidth="1"/>
    <col min="2026" max="2026" width="17.140625" style="85" customWidth="1"/>
    <col min="2027" max="2027" width="10.28515625" style="85" customWidth="1"/>
    <col min="2028" max="2028" width="16" style="85" bestFit="1" customWidth="1"/>
    <col min="2029" max="2029" width="19.42578125" style="85" customWidth="1"/>
    <col min="2030" max="2030" width="18.7109375" style="85" customWidth="1"/>
    <col min="2031" max="2031" width="10.28515625" style="85" customWidth="1"/>
    <col min="2032" max="2032" width="16" style="85" bestFit="1" customWidth="1"/>
    <col min="2033" max="2033" width="18.42578125" style="85" customWidth="1"/>
    <col min="2034" max="2034" width="13.28515625" style="85" customWidth="1"/>
    <col min="2035" max="2035" width="16.28515625" style="85" customWidth="1"/>
    <col min="2036" max="2036" width="19.28515625" style="85" bestFit="1" customWidth="1"/>
    <col min="2037" max="2037" width="19.42578125" style="85" bestFit="1" customWidth="1"/>
    <col min="2038" max="2041" width="16" style="85" bestFit="1" customWidth="1"/>
    <col min="2042" max="2042" width="18" style="85" bestFit="1" customWidth="1"/>
    <col min="2043" max="2262" width="11.5703125" style="85"/>
    <col min="2263" max="2263" width="33.7109375" style="85" customWidth="1"/>
    <col min="2264" max="2264" width="14.85546875" style="85" customWidth="1"/>
    <col min="2265" max="2265" width="12.85546875" style="85" customWidth="1"/>
    <col min="2266" max="2266" width="16.28515625" style="85" customWidth="1"/>
    <col min="2267" max="2267" width="17.140625" style="85" bestFit="1" customWidth="1"/>
    <col min="2268" max="2268" width="17.140625" style="85" customWidth="1"/>
    <col min="2269" max="2269" width="14.140625" style="85" customWidth="1"/>
    <col min="2270" max="2270" width="56.7109375" style="85" customWidth="1"/>
    <col min="2271" max="2271" width="16" style="85" customWidth="1"/>
    <col min="2272" max="2272" width="17.140625" style="85" bestFit="1" customWidth="1"/>
    <col min="2273" max="2280" width="0" style="85" hidden="1" customWidth="1"/>
    <col min="2281" max="2281" width="18.85546875" style="85" bestFit="1" customWidth="1"/>
    <col min="2282" max="2282" width="17.140625" style="85" customWidth="1"/>
    <col min="2283" max="2283" width="10.28515625" style="85" customWidth="1"/>
    <col min="2284" max="2284" width="16" style="85" bestFit="1" customWidth="1"/>
    <col min="2285" max="2285" width="19.42578125" style="85" customWidth="1"/>
    <col min="2286" max="2286" width="18.7109375" style="85" customWidth="1"/>
    <col min="2287" max="2287" width="10.28515625" style="85" customWidth="1"/>
    <col min="2288" max="2288" width="16" style="85" bestFit="1" customWidth="1"/>
    <col min="2289" max="2289" width="18.42578125" style="85" customWidth="1"/>
    <col min="2290" max="2290" width="13.28515625" style="85" customWidth="1"/>
    <col min="2291" max="2291" width="16.28515625" style="85" customWidth="1"/>
    <col min="2292" max="2292" width="19.28515625" style="85" bestFit="1" customWidth="1"/>
    <col min="2293" max="2293" width="19.42578125" style="85" bestFit="1" customWidth="1"/>
    <col min="2294" max="2297" width="16" style="85" bestFit="1" customWidth="1"/>
    <col min="2298" max="2298" width="18" style="85" bestFit="1" customWidth="1"/>
    <col min="2299" max="2518" width="11.5703125" style="85"/>
    <col min="2519" max="2519" width="33.7109375" style="85" customWidth="1"/>
    <col min="2520" max="2520" width="14.85546875" style="85" customWidth="1"/>
    <col min="2521" max="2521" width="12.85546875" style="85" customWidth="1"/>
    <col min="2522" max="2522" width="16.28515625" style="85" customWidth="1"/>
    <col min="2523" max="2523" width="17.140625" style="85" bestFit="1" customWidth="1"/>
    <col min="2524" max="2524" width="17.140625" style="85" customWidth="1"/>
    <col min="2525" max="2525" width="14.140625" style="85" customWidth="1"/>
    <col min="2526" max="2526" width="56.7109375" style="85" customWidth="1"/>
    <col min="2527" max="2527" width="16" style="85" customWidth="1"/>
    <col min="2528" max="2528" width="17.140625" style="85" bestFit="1" customWidth="1"/>
    <col min="2529" max="2536" width="0" style="85" hidden="1" customWidth="1"/>
    <col min="2537" max="2537" width="18.85546875" style="85" bestFit="1" customWidth="1"/>
    <col min="2538" max="2538" width="17.140625" style="85" customWidth="1"/>
    <col min="2539" max="2539" width="10.28515625" style="85" customWidth="1"/>
    <col min="2540" max="2540" width="16" style="85" bestFit="1" customWidth="1"/>
    <col min="2541" max="2541" width="19.42578125" style="85" customWidth="1"/>
    <col min="2542" max="2542" width="18.7109375" style="85" customWidth="1"/>
    <col min="2543" max="2543" width="10.28515625" style="85" customWidth="1"/>
    <col min="2544" max="2544" width="16" style="85" bestFit="1" customWidth="1"/>
    <col min="2545" max="2545" width="18.42578125" style="85" customWidth="1"/>
    <col min="2546" max="2546" width="13.28515625" style="85" customWidth="1"/>
    <col min="2547" max="2547" width="16.28515625" style="85" customWidth="1"/>
    <col min="2548" max="2548" width="19.28515625" style="85" bestFit="1" customWidth="1"/>
    <col min="2549" max="2549" width="19.42578125" style="85" bestFit="1" customWidth="1"/>
    <col min="2550" max="2553" width="16" style="85" bestFit="1" customWidth="1"/>
    <col min="2554" max="2554" width="18" style="85" bestFit="1" customWidth="1"/>
    <col min="2555" max="2774" width="11.5703125" style="85"/>
    <col min="2775" max="2775" width="33.7109375" style="85" customWidth="1"/>
    <col min="2776" max="2776" width="14.85546875" style="85" customWidth="1"/>
    <col min="2777" max="2777" width="12.85546875" style="85" customWidth="1"/>
    <col min="2778" max="2778" width="16.28515625" style="85" customWidth="1"/>
    <col min="2779" max="2779" width="17.140625" style="85" bestFit="1" customWidth="1"/>
    <col min="2780" max="2780" width="17.140625" style="85" customWidth="1"/>
    <col min="2781" max="2781" width="14.140625" style="85" customWidth="1"/>
    <col min="2782" max="2782" width="56.7109375" style="85" customWidth="1"/>
    <col min="2783" max="2783" width="16" style="85" customWidth="1"/>
    <col min="2784" max="2784" width="17.140625" style="85" bestFit="1" customWidth="1"/>
    <col min="2785" max="2792" width="0" style="85" hidden="1" customWidth="1"/>
    <col min="2793" max="2793" width="18.85546875" style="85" bestFit="1" customWidth="1"/>
    <col min="2794" max="2794" width="17.140625" style="85" customWidth="1"/>
    <col min="2795" max="2795" width="10.28515625" style="85" customWidth="1"/>
    <col min="2796" max="2796" width="16" style="85" bestFit="1" customWidth="1"/>
    <col min="2797" max="2797" width="19.42578125" style="85" customWidth="1"/>
    <col min="2798" max="2798" width="18.7109375" style="85" customWidth="1"/>
    <col min="2799" max="2799" width="10.28515625" style="85" customWidth="1"/>
    <col min="2800" max="2800" width="16" style="85" bestFit="1" customWidth="1"/>
    <col min="2801" max="2801" width="18.42578125" style="85" customWidth="1"/>
    <col min="2802" max="2802" width="13.28515625" style="85" customWidth="1"/>
    <col min="2803" max="2803" width="16.28515625" style="85" customWidth="1"/>
    <col min="2804" max="2804" width="19.28515625" style="85" bestFit="1" customWidth="1"/>
    <col min="2805" max="2805" width="19.42578125" style="85" bestFit="1" customWidth="1"/>
    <col min="2806" max="2809" width="16" style="85" bestFit="1" customWidth="1"/>
    <col min="2810" max="2810" width="18" style="85" bestFit="1" customWidth="1"/>
    <col min="2811" max="3030" width="11.5703125" style="85"/>
    <col min="3031" max="3031" width="33.7109375" style="85" customWidth="1"/>
    <col min="3032" max="3032" width="14.85546875" style="85" customWidth="1"/>
    <col min="3033" max="3033" width="12.85546875" style="85" customWidth="1"/>
    <col min="3034" max="3034" width="16.28515625" style="85" customWidth="1"/>
    <col min="3035" max="3035" width="17.140625" style="85" bestFit="1" customWidth="1"/>
    <col min="3036" max="3036" width="17.140625" style="85" customWidth="1"/>
    <col min="3037" max="3037" width="14.140625" style="85" customWidth="1"/>
    <col min="3038" max="3038" width="56.7109375" style="85" customWidth="1"/>
    <col min="3039" max="3039" width="16" style="85" customWidth="1"/>
    <col min="3040" max="3040" width="17.140625" style="85" bestFit="1" customWidth="1"/>
    <col min="3041" max="3048" width="0" style="85" hidden="1" customWidth="1"/>
    <col min="3049" max="3049" width="18.85546875" style="85" bestFit="1" customWidth="1"/>
    <col min="3050" max="3050" width="17.140625" style="85" customWidth="1"/>
    <col min="3051" max="3051" width="10.28515625" style="85" customWidth="1"/>
    <col min="3052" max="3052" width="16" style="85" bestFit="1" customWidth="1"/>
    <col min="3053" max="3053" width="19.42578125" style="85" customWidth="1"/>
    <col min="3054" max="3054" width="18.7109375" style="85" customWidth="1"/>
    <col min="3055" max="3055" width="10.28515625" style="85" customWidth="1"/>
    <col min="3056" max="3056" width="16" style="85" bestFit="1" customWidth="1"/>
    <col min="3057" max="3057" width="18.42578125" style="85" customWidth="1"/>
    <col min="3058" max="3058" width="13.28515625" style="85" customWidth="1"/>
    <col min="3059" max="3059" width="16.28515625" style="85" customWidth="1"/>
    <col min="3060" max="3060" width="19.28515625" style="85" bestFit="1" customWidth="1"/>
    <col min="3061" max="3061" width="19.42578125" style="85" bestFit="1" customWidth="1"/>
    <col min="3062" max="3065" width="16" style="85" bestFit="1" customWidth="1"/>
    <col min="3066" max="3066" width="18" style="85" bestFit="1" customWidth="1"/>
    <col min="3067" max="3286" width="11.5703125" style="85"/>
    <col min="3287" max="3287" width="33.7109375" style="85" customWidth="1"/>
    <col min="3288" max="3288" width="14.85546875" style="85" customWidth="1"/>
    <col min="3289" max="3289" width="12.85546875" style="85" customWidth="1"/>
    <col min="3290" max="3290" width="16.28515625" style="85" customWidth="1"/>
    <col min="3291" max="3291" width="17.140625" style="85" bestFit="1" customWidth="1"/>
    <col min="3292" max="3292" width="17.140625" style="85" customWidth="1"/>
    <col min="3293" max="3293" width="14.140625" style="85" customWidth="1"/>
    <col min="3294" max="3294" width="56.7109375" style="85" customWidth="1"/>
    <col min="3295" max="3295" width="16" style="85" customWidth="1"/>
    <col min="3296" max="3296" width="17.140625" style="85" bestFit="1" customWidth="1"/>
    <col min="3297" max="3304" width="0" style="85" hidden="1" customWidth="1"/>
    <col min="3305" max="3305" width="18.85546875" style="85" bestFit="1" customWidth="1"/>
    <col min="3306" max="3306" width="17.140625" style="85" customWidth="1"/>
    <col min="3307" max="3307" width="10.28515625" style="85" customWidth="1"/>
    <col min="3308" max="3308" width="16" style="85" bestFit="1" customWidth="1"/>
    <col min="3309" max="3309" width="19.42578125" style="85" customWidth="1"/>
    <col min="3310" max="3310" width="18.7109375" style="85" customWidth="1"/>
    <col min="3311" max="3311" width="10.28515625" style="85" customWidth="1"/>
    <col min="3312" max="3312" width="16" style="85" bestFit="1" customWidth="1"/>
    <col min="3313" max="3313" width="18.42578125" style="85" customWidth="1"/>
    <col min="3314" max="3314" width="13.28515625" style="85" customWidth="1"/>
    <col min="3315" max="3315" width="16.28515625" style="85" customWidth="1"/>
    <col min="3316" max="3316" width="19.28515625" style="85" bestFit="1" customWidth="1"/>
    <col min="3317" max="3317" width="19.42578125" style="85" bestFit="1" customWidth="1"/>
    <col min="3318" max="3321" width="16" style="85" bestFit="1" customWidth="1"/>
    <col min="3322" max="3322" width="18" style="85" bestFit="1" customWidth="1"/>
    <col min="3323" max="3542" width="11.5703125" style="85"/>
    <col min="3543" max="3543" width="33.7109375" style="85" customWidth="1"/>
    <col min="3544" max="3544" width="14.85546875" style="85" customWidth="1"/>
    <col min="3545" max="3545" width="12.85546875" style="85" customWidth="1"/>
    <col min="3546" max="3546" width="16.28515625" style="85" customWidth="1"/>
    <col min="3547" max="3547" width="17.140625" style="85" bestFit="1" customWidth="1"/>
    <col min="3548" max="3548" width="17.140625" style="85" customWidth="1"/>
    <col min="3549" max="3549" width="14.140625" style="85" customWidth="1"/>
    <col min="3550" max="3550" width="56.7109375" style="85" customWidth="1"/>
    <col min="3551" max="3551" width="16" style="85" customWidth="1"/>
    <col min="3552" max="3552" width="17.140625" style="85" bestFit="1" customWidth="1"/>
    <col min="3553" max="3560" width="0" style="85" hidden="1" customWidth="1"/>
    <col min="3561" max="3561" width="18.85546875" style="85" bestFit="1" customWidth="1"/>
    <col min="3562" max="3562" width="17.140625" style="85" customWidth="1"/>
    <col min="3563" max="3563" width="10.28515625" style="85" customWidth="1"/>
    <col min="3564" max="3564" width="16" style="85" bestFit="1" customWidth="1"/>
    <col min="3565" max="3565" width="19.42578125" style="85" customWidth="1"/>
    <col min="3566" max="3566" width="18.7109375" style="85" customWidth="1"/>
    <col min="3567" max="3567" width="10.28515625" style="85" customWidth="1"/>
    <col min="3568" max="3568" width="16" style="85" bestFit="1" customWidth="1"/>
    <col min="3569" max="3569" width="18.42578125" style="85" customWidth="1"/>
    <col min="3570" max="3570" width="13.28515625" style="85" customWidth="1"/>
    <col min="3571" max="3571" width="16.28515625" style="85" customWidth="1"/>
    <col min="3572" max="3572" width="19.28515625" style="85" bestFit="1" customWidth="1"/>
    <col min="3573" max="3573" width="19.42578125" style="85" bestFit="1" customWidth="1"/>
    <col min="3574" max="3577" width="16" style="85" bestFit="1" customWidth="1"/>
    <col min="3578" max="3578" width="18" style="85" bestFit="1" customWidth="1"/>
    <col min="3579" max="3798" width="11.5703125" style="85"/>
    <col min="3799" max="3799" width="33.7109375" style="85" customWidth="1"/>
    <col min="3800" max="3800" width="14.85546875" style="85" customWidth="1"/>
    <col min="3801" max="3801" width="12.85546875" style="85" customWidth="1"/>
    <col min="3802" max="3802" width="16.28515625" style="85" customWidth="1"/>
    <col min="3803" max="3803" width="17.140625" style="85" bestFit="1" customWidth="1"/>
    <col min="3804" max="3804" width="17.140625" style="85" customWidth="1"/>
    <col min="3805" max="3805" width="14.140625" style="85" customWidth="1"/>
    <col min="3806" max="3806" width="56.7109375" style="85" customWidth="1"/>
    <col min="3807" max="3807" width="16" style="85" customWidth="1"/>
    <col min="3808" max="3808" width="17.140625" style="85" bestFit="1" customWidth="1"/>
    <col min="3809" max="3816" width="0" style="85" hidden="1" customWidth="1"/>
    <col min="3817" max="3817" width="18.85546875" style="85" bestFit="1" customWidth="1"/>
    <col min="3818" max="3818" width="17.140625" style="85" customWidth="1"/>
    <col min="3819" max="3819" width="10.28515625" style="85" customWidth="1"/>
    <col min="3820" max="3820" width="16" style="85" bestFit="1" customWidth="1"/>
    <col min="3821" max="3821" width="19.42578125" style="85" customWidth="1"/>
    <col min="3822" max="3822" width="18.7109375" style="85" customWidth="1"/>
    <col min="3823" max="3823" width="10.28515625" style="85" customWidth="1"/>
    <col min="3824" max="3824" width="16" style="85" bestFit="1" customWidth="1"/>
    <col min="3825" max="3825" width="18.42578125" style="85" customWidth="1"/>
    <col min="3826" max="3826" width="13.28515625" style="85" customWidth="1"/>
    <col min="3827" max="3827" width="16.28515625" style="85" customWidth="1"/>
    <col min="3828" max="3828" width="19.28515625" style="85" bestFit="1" customWidth="1"/>
    <col min="3829" max="3829" width="19.42578125" style="85" bestFit="1" customWidth="1"/>
    <col min="3830" max="3833" width="16" style="85" bestFit="1" customWidth="1"/>
    <col min="3834" max="3834" width="18" style="85" bestFit="1" customWidth="1"/>
    <col min="3835" max="4054" width="11.5703125" style="85"/>
    <col min="4055" max="4055" width="33.7109375" style="85" customWidth="1"/>
    <col min="4056" max="4056" width="14.85546875" style="85" customWidth="1"/>
    <col min="4057" max="4057" width="12.85546875" style="85" customWidth="1"/>
    <col min="4058" max="4058" width="16.28515625" style="85" customWidth="1"/>
    <col min="4059" max="4059" width="17.140625" style="85" bestFit="1" customWidth="1"/>
    <col min="4060" max="4060" width="17.140625" style="85" customWidth="1"/>
    <col min="4061" max="4061" width="14.140625" style="85" customWidth="1"/>
    <col min="4062" max="4062" width="56.7109375" style="85" customWidth="1"/>
    <col min="4063" max="4063" width="16" style="85" customWidth="1"/>
    <col min="4064" max="4064" width="17.140625" style="85" bestFit="1" customWidth="1"/>
    <col min="4065" max="4072" width="0" style="85" hidden="1" customWidth="1"/>
    <col min="4073" max="4073" width="18.85546875" style="85" bestFit="1" customWidth="1"/>
    <col min="4074" max="4074" width="17.140625" style="85" customWidth="1"/>
    <col min="4075" max="4075" width="10.28515625" style="85" customWidth="1"/>
    <col min="4076" max="4076" width="16" style="85" bestFit="1" customWidth="1"/>
    <col min="4077" max="4077" width="19.42578125" style="85" customWidth="1"/>
    <col min="4078" max="4078" width="18.7109375" style="85" customWidth="1"/>
    <col min="4079" max="4079" width="10.28515625" style="85" customWidth="1"/>
    <col min="4080" max="4080" width="16" style="85" bestFit="1" customWidth="1"/>
    <col min="4081" max="4081" width="18.42578125" style="85" customWidth="1"/>
    <col min="4082" max="4082" width="13.28515625" style="85" customWidth="1"/>
    <col min="4083" max="4083" width="16.28515625" style="85" customWidth="1"/>
    <col min="4084" max="4084" width="19.28515625" style="85" bestFit="1" customWidth="1"/>
    <col min="4085" max="4085" width="19.42578125" style="85" bestFit="1" customWidth="1"/>
    <col min="4086" max="4089" width="16" style="85" bestFit="1" customWidth="1"/>
    <col min="4090" max="4090" width="18" style="85" bestFit="1" customWidth="1"/>
    <col min="4091" max="4310" width="11.5703125" style="85"/>
    <col min="4311" max="4311" width="33.7109375" style="85" customWidth="1"/>
    <col min="4312" max="4312" width="14.85546875" style="85" customWidth="1"/>
    <col min="4313" max="4313" width="12.85546875" style="85" customWidth="1"/>
    <col min="4314" max="4314" width="16.28515625" style="85" customWidth="1"/>
    <col min="4315" max="4315" width="17.140625" style="85" bestFit="1" customWidth="1"/>
    <col min="4316" max="4316" width="17.140625" style="85" customWidth="1"/>
    <col min="4317" max="4317" width="14.140625" style="85" customWidth="1"/>
    <col min="4318" max="4318" width="56.7109375" style="85" customWidth="1"/>
    <col min="4319" max="4319" width="16" style="85" customWidth="1"/>
    <col min="4320" max="4320" width="17.140625" style="85" bestFit="1" customWidth="1"/>
    <col min="4321" max="4328" width="0" style="85" hidden="1" customWidth="1"/>
    <col min="4329" max="4329" width="18.85546875" style="85" bestFit="1" customWidth="1"/>
    <col min="4330" max="4330" width="17.140625" style="85" customWidth="1"/>
    <col min="4331" max="4331" width="10.28515625" style="85" customWidth="1"/>
    <col min="4332" max="4332" width="16" style="85" bestFit="1" customWidth="1"/>
    <col min="4333" max="4333" width="19.42578125" style="85" customWidth="1"/>
    <col min="4334" max="4334" width="18.7109375" style="85" customWidth="1"/>
    <col min="4335" max="4335" width="10.28515625" style="85" customWidth="1"/>
    <col min="4336" max="4336" width="16" style="85" bestFit="1" customWidth="1"/>
    <col min="4337" max="4337" width="18.42578125" style="85" customWidth="1"/>
    <col min="4338" max="4338" width="13.28515625" style="85" customWidth="1"/>
    <col min="4339" max="4339" width="16.28515625" style="85" customWidth="1"/>
    <col min="4340" max="4340" width="19.28515625" style="85" bestFit="1" customWidth="1"/>
    <col min="4341" max="4341" width="19.42578125" style="85" bestFit="1" customWidth="1"/>
    <col min="4342" max="4345" width="16" style="85" bestFit="1" customWidth="1"/>
    <col min="4346" max="4346" width="18" style="85" bestFit="1" customWidth="1"/>
    <col min="4347" max="4566" width="11.5703125" style="85"/>
    <col min="4567" max="4567" width="33.7109375" style="85" customWidth="1"/>
    <col min="4568" max="4568" width="14.85546875" style="85" customWidth="1"/>
    <col min="4569" max="4569" width="12.85546875" style="85" customWidth="1"/>
    <col min="4570" max="4570" width="16.28515625" style="85" customWidth="1"/>
    <col min="4571" max="4571" width="17.140625" style="85" bestFit="1" customWidth="1"/>
    <col min="4572" max="4572" width="17.140625" style="85" customWidth="1"/>
    <col min="4573" max="4573" width="14.140625" style="85" customWidth="1"/>
    <col min="4574" max="4574" width="56.7109375" style="85" customWidth="1"/>
    <col min="4575" max="4575" width="16" style="85" customWidth="1"/>
    <col min="4576" max="4576" width="17.140625" style="85" bestFit="1" customWidth="1"/>
    <col min="4577" max="4584" width="0" style="85" hidden="1" customWidth="1"/>
    <col min="4585" max="4585" width="18.85546875" style="85" bestFit="1" customWidth="1"/>
    <col min="4586" max="4586" width="17.140625" style="85" customWidth="1"/>
    <col min="4587" max="4587" width="10.28515625" style="85" customWidth="1"/>
    <col min="4588" max="4588" width="16" style="85" bestFit="1" customWidth="1"/>
    <col min="4589" max="4589" width="19.42578125" style="85" customWidth="1"/>
    <col min="4590" max="4590" width="18.7109375" style="85" customWidth="1"/>
    <col min="4591" max="4591" width="10.28515625" style="85" customWidth="1"/>
    <col min="4592" max="4592" width="16" style="85" bestFit="1" customWidth="1"/>
    <col min="4593" max="4593" width="18.42578125" style="85" customWidth="1"/>
    <col min="4594" max="4594" width="13.28515625" style="85" customWidth="1"/>
    <col min="4595" max="4595" width="16.28515625" style="85" customWidth="1"/>
    <col min="4596" max="4596" width="19.28515625" style="85" bestFit="1" customWidth="1"/>
    <col min="4597" max="4597" width="19.42578125" style="85" bestFit="1" customWidth="1"/>
    <col min="4598" max="4601" width="16" style="85" bestFit="1" customWidth="1"/>
    <col min="4602" max="4602" width="18" style="85" bestFit="1" customWidth="1"/>
    <col min="4603" max="4822" width="11.5703125" style="85"/>
    <col min="4823" max="4823" width="33.7109375" style="85" customWidth="1"/>
    <col min="4824" max="4824" width="14.85546875" style="85" customWidth="1"/>
    <col min="4825" max="4825" width="12.85546875" style="85" customWidth="1"/>
    <col min="4826" max="4826" width="16.28515625" style="85" customWidth="1"/>
    <col min="4827" max="4827" width="17.140625" style="85" bestFit="1" customWidth="1"/>
    <col min="4828" max="4828" width="17.140625" style="85" customWidth="1"/>
    <col min="4829" max="4829" width="14.140625" style="85" customWidth="1"/>
    <col min="4830" max="4830" width="56.7109375" style="85" customWidth="1"/>
    <col min="4831" max="4831" width="16" style="85" customWidth="1"/>
    <col min="4832" max="4832" width="17.140625" style="85" bestFit="1" customWidth="1"/>
    <col min="4833" max="4840" width="0" style="85" hidden="1" customWidth="1"/>
    <col min="4841" max="4841" width="18.85546875" style="85" bestFit="1" customWidth="1"/>
    <col min="4842" max="4842" width="17.140625" style="85" customWidth="1"/>
    <col min="4843" max="4843" width="10.28515625" style="85" customWidth="1"/>
    <col min="4844" max="4844" width="16" style="85" bestFit="1" customWidth="1"/>
    <col min="4845" max="4845" width="19.42578125" style="85" customWidth="1"/>
    <col min="4846" max="4846" width="18.7109375" style="85" customWidth="1"/>
    <col min="4847" max="4847" width="10.28515625" style="85" customWidth="1"/>
    <col min="4848" max="4848" width="16" style="85" bestFit="1" customWidth="1"/>
    <col min="4849" max="4849" width="18.42578125" style="85" customWidth="1"/>
    <col min="4850" max="4850" width="13.28515625" style="85" customWidth="1"/>
    <col min="4851" max="4851" width="16.28515625" style="85" customWidth="1"/>
    <col min="4852" max="4852" width="19.28515625" style="85" bestFit="1" customWidth="1"/>
    <col min="4853" max="4853" width="19.42578125" style="85" bestFit="1" customWidth="1"/>
    <col min="4854" max="4857" width="16" style="85" bestFit="1" customWidth="1"/>
    <col min="4858" max="4858" width="18" style="85" bestFit="1" customWidth="1"/>
    <col min="4859" max="5078" width="11.5703125" style="85"/>
    <col min="5079" max="5079" width="33.7109375" style="85" customWidth="1"/>
    <col min="5080" max="5080" width="14.85546875" style="85" customWidth="1"/>
    <col min="5081" max="5081" width="12.85546875" style="85" customWidth="1"/>
    <col min="5082" max="5082" width="16.28515625" style="85" customWidth="1"/>
    <col min="5083" max="5083" width="17.140625" style="85" bestFit="1" customWidth="1"/>
    <col min="5084" max="5084" width="17.140625" style="85" customWidth="1"/>
    <col min="5085" max="5085" width="14.140625" style="85" customWidth="1"/>
    <col min="5086" max="5086" width="56.7109375" style="85" customWidth="1"/>
    <col min="5087" max="5087" width="16" style="85" customWidth="1"/>
    <col min="5088" max="5088" width="17.140625" style="85" bestFit="1" customWidth="1"/>
    <col min="5089" max="5096" width="0" style="85" hidden="1" customWidth="1"/>
    <col min="5097" max="5097" width="18.85546875" style="85" bestFit="1" customWidth="1"/>
    <col min="5098" max="5098" width="17.140625" style="85" customWidth="1"/>
    <col min="5099" max="5099" width="10.28515625" style="85" customWidth="1"/>
    <col min="5100" max="5100" width="16" style="85" bestFit="1" customWidth="1"/>
    <col min="5101" max="5101" width="19.42578125" style="85" customWidth="1"/>
    <col min="5102" max="5102" width="18.7109375" style="85" customWidth="1"/>
    <col min="5103" max="5103" width="10.28515625" style="85" customWidth="1"/>
    <col min="5104" max="5104" width="16" style="85" bestFit="1" customWidth="1"/>
    <col min="5105" max="5105" width="18.42578125" style="85" customWidth="1"/>
    <col min="5106" max="5106" width="13.28515625" style="85" customWidth="1"/>
    <col min="5107" max="5107" width="16.28515625" style="85" customWidth="1"/>
    <col min="5108" max="5108" width="19.28515625" style="85" bestFit="1" customWidth="1"/>
    <col min="5109" max="5109" width="19.42578125" style="85" bestFit="1" customWidth="1"/>
    <col min="5110" max="5113" width="16" style="85" bestFit="1" customWidth="1"/>
    <col min="5114" max="5114" width="18" style="85" bestFit="1" customWidth="1"/>
    <col min="5115" max="5334" width="11.5703125" style="85"/>
    <col min="5335" max="5335" width="33.7109375" style="85" customWidth="1"/>
    <col min="5336" max="5336" width="14.85546875" style="85" customWidth="1"/>
    <col min="5337" max="5337" width="12.85546875" style="85" customWidth="1"/>
    <col min="5338" max="5338" width="16.28515625" style="85" customWidth="1"/>
    <col min="5339" max="5339" width="17.140625" style="85" bestFit="1" customWidth="1"/>
    <col min="5340" max="5340" width="17.140625" style="85" customWidth="1"/>
    <col min="5341" max="5341" width="14.140625" style="85" customWidth="1"/>
    <col min="5342" max="5342" width="56.7109375" style="85" customWidth="1"/>
    <col min="5343" max="5343" width="16" style="85" customWidth="1"/>
    <col min="5344" max="5344" width="17.140625" style="85" bestFit="1" customWidth="1"/>
    <col min="5345" max="5352" width="0" style="85" hidden="1" customWidth="1"/>
    <col min="5353" max="5353" width="18.85546875" style="85" bestFit="1" customWidth="1"/>
    <col min="5354" max="5354" width="17.140625" style="85" customWidth="1"/>
    <col min="5355" max="5355" width="10.28515625" style="85" customWidth="1"/>
    <col min="5356" max="5356" width="16" style="85" bestFit="1" customWidth="1"/>
    <col min="5357" max="5357" width="19.42578125" style="85" customWidth="1"/>
    <col min="5358" max="5358" width="18.7109375" style="85" customWidth="1"/>
    <col min="5359" max="5359" width="10.28515625" style="85" customWidth="1"/>
    <col min="5360" max="5360" width="16" style="85" bestFit="1" customWidth="1"/>
    <col min="5361" max="5361" width="18.42578125" style="85" customWidth="1"/>
    <col min="5362" max="5362" width="13.28515625" style="85" customWidth="1"/>
    <col min="5363" max="5363" width="16.28515625" style="85" customWidth="1"/>
    <col min="5364" max="5364" width="19.28515625" style="85" bestFit="1" customWidth="1"/>
    <col min="5365" max="5365" width="19.42578125" style="85" bestFit="1" customWidth="1"/>
    <col min="5366" max="5369" width="16" style="85" bestFit="1" customWidth="1"/>
    <col min="5370" max="5370" width="18" style="85" bestFit="1" customWidth="1"/>
    <col min="5371" max="5590" width="11.5703125" style="85"/>
    <col min="5591" max="5591" width="33.7109375" style="85" customWidth="1"/>
    <col min="5592" max="5592" width="14.85546875" style="85" customWidth="1"/>
    <col min="5593" max="5593" width="12.85546875" style="85" customWidth="1"/>
    <col min="5594" max="5594" width="16.28515625" style="85" customWidth="1"/>
    <col min="5595" max="5595" width="17.140625" style="85" bestFit="1" customWidth="1"/>
    <col min="5596" max="5596" width="17.140625" style="85" customWidth="1"/>
    <col min="5597" max="5597" width="14.140625" style="85" customWidth="1"/>
    <col min="5598" max="5598" width="56.7109375" style="85" customWidth="1"/>
    <col min="5599" max="5599" width="16" style="85" customWidth="1"/>
    <col min="5600" max="5600" width="17.140625" style="85" bestFit="1" customWidth="1"/>
    <col min="5601" max="5608" width="0" style="85" hidden="1" customWidth="1"/>
    <col min="5609" max="5609" width="18.85546875" style="85" bestFit="1" customWidth="1"/>
    <col min="5610" max="5610" width="17.140625" style="85" customWidth="1"/>
    <col min="5611" max="5611" width="10.28515625" style="85" customWidth="1"/>
    <col min="5612" max="5612" width="16" style="85" bestFit="1" customWidth="1"/>
    <col min="5613" max="5613" width="19.42578125" style="85" customWidth="1"/>
    <col min="5614" max="5614" width="18.7109375" style="85" customWidth="1"/>
    <col min="5615" max="5615" width="10.28515625" style="85" customWidth="1"/>
    <col min="5616" max="5616" width="16" style="85" bestFit="1" customWidth="1"/>
    <col min="5617" max="5617" width="18.42578125" style="85" customWidth="1"/>
    <col min="5618" max="5618" width="13.28515625" style="85" customWidth="1"/>
    <col min="5619" max="5619" width="16.28515625" style="85" customWidth="1"/>
    <col min="5620" max="5620" width="19.28515625" style="85" bestFit="1" customWidth="1"/>
    <col min="5621" max="5621" width="19.42578125" style="85" bestFit="1" customWidth="1"/>
    <col min="5622" max="5625" width="16" style="85" bestFit="1" customWidth="1"/>
    <col min="5626" max="5626" width="18" style="85" bestFit="1" customWidth="1"/>
    <col min="5627" max="5846" width="11.5703125" style="85"/>
    <col min="5847" max="5847" width="33.7109375" style="85" customWidth="1"/>
    <col min="5848" max="5848" width="14.85546875" style="85" customWidth="1"/>
    <col min="5849" max="5849" width="12.85546875" style="85" customWidth="1"/>
    <col min="5850" max="5850" width="16.28515625" style="85" customWidth="1"/>
    <col min="5851" max="5851" width="17.140625" style="85" bestFit="1" customWidth="1"/>
    <col min="5852" max="5852" width="17.140625" style="85" customWidth="1"/>
    <col min="5853" max="5853" width="14.140625" style="85" customWidth="1"/>
    <col min="5854" max="5854" width="56.7109375" style="85" customWidth="1"/>
    <col min="5855" max="5855" width="16" style="85" customWidth="1"/>
    <col min="5856" max="5856" width="17.140625" style="85" bestFit="1" customWidth="1"/>
    <col min="5857" max="5864" width="0" style="85" hidden="1" customWidth="1"/>
    <col min="5865" max="5865" width="18.85546875" style="85" bestFit="1" customWidth="1"/>
    <col min="5866" max="5866" width="17.140625" style="85" customWidth="1"/>
    <col min="5867" max="5867" width="10.28515625" style="85" customWidth="1"/>
    <col min="5868" max="5868" width="16" style="85" bestFit="1" customWidth="1"/>
    <col min="5869" max="5869" width="19.42578125" style="85" customWidth="1"/>
    <col min="5870" max="5870" width="18.7109375" style="85" customWidth="1"/>
    <col min="5871" max="5871" width="10.28515625" style="85" customWidth="1"/>
    <col min="5872" max="5872" width="16" style="85" bestFit="1" customWidth="1"/>
    <col min="5873" max="5873" width="18.42578125" style="85" customWidth="1"/>
    <col min="5874" max="5874" width="13.28515625" style="85" customWidth="1"/>
    <col min="5875" max="5875" width="16.28515625" style="85" customWidth="1"/>
    <col min="5876" max="5876" width="19.28515625" style="85" bestFit="1" customWidth="1"/>
    <col min="5877" max="5877" width="19.42578125" style="85" bestFit="1" customWidth="1"/>
    <col min="5878" max="5881" width="16" style="85" bestFit="1" customWidth="1"/>
    <col min="5882" max="5882" width="18" style="85" bestFit="1" customWidth="1"/>
    <col min="5883" max="6102" width="11.5703125" style="85"/>
    <col min="6103" max="6103" width="33.7109375" style="85" customWidth="1"/>
    <col min="6104" max="6104" width="14.85546875" style="85" customWidth="1"/>
    <col min="6105" max="6105" width="12.85546875" style="85" customWidth="1"/>
    <col min="6106" max="6106" width="16.28515625" style="85" customWidth="1"/>
    <col min="6107" max="6107" width="17.140625" style="85" bestFit="1" customWidth="1"/>
    <col min="6108" max="6108" width="17.140625" style="85" customWidth="1"/>
    <col min="6109" max="6109" width="14.140625" style="85" customWidth="1"/>
    <col min="6110" max="6110" width="56.7109375" style="85" customWidth="1"/>
    <col min="6111" max="6111" width="16" style="85" customWidth="1"/>
    <col min="6112" max="6112" width="17.140625" style="85" bestFit="1" customWidth="1"/>
    <col min="6113" max="6120" width="0" style="85" hidden="1" customWidth="1"/>
    <col min="6121" max="6121" width="18.85546875" style="85" bestFit="1" customWidth="1"/>
    <col min="6122" max="6122" width="17.140625" style="85" customWidth="1"/>
    <col min="6123" max="6123" width="10.28515625" style="85" customWidth="1"/>
    <col min="6124" max="6124" width="16" style="85" bestFit="1" customWidth="1"/>
    <col min="6125" max="6125" width="19.42578125" style="85" customWidth="1"/>
    <col min="6126" max="6126" width="18.7109375" style="85" customWidth="1"/>
    <col min="6127" max="6127" width="10.28515625" style="85" customWidth="1"/>
    <col min="6128" max="6128" width="16" style="85" bestFit="1" customWidth="1"/>
    <col min="6129" max="6129" width="18.42578125" style="85" customWidth="1"/>
    <col min="6130" max="6130" width="13.28515625" style="85" customWidth="1"/>
    <col min="6131" max="6131" width="16.28515625" style="85" customWidth="1"/>
    <col min="6132" max="6132" width="19.28515625" style="85" bestFit="1" customWidth="1"/>
    <col min="6133" max="6133" width="19.42578125" style="85" bestFit="1" customWidth="1"/>
    <col min="6134" max="6137" width="16" style="85" bestFit="1" customWidth="1"/>
    <col min="6138" max="6138" width="18" style="85" bestFit="1" customWidth="1"/>
    <col min="6139" max="6358" width="11.5703125" style="85"/>
    <col min="6359" max="6359" width="33.7109375" style="85" customWidth="1"/>
    <col min="6360" max="6360" width="14.85546875" style="85" customWidth="1"/>
    <col min="6361" max="6361" width="12.85546875" style="85" customWidth="1"/>
    <col min="6362" max="6362" width="16.28515625" style="85" customWidth="1"/>
    <col min="6363" max="6363" width="17.140625" style="85" bestFit="1" customWidth="1"/>
    <col min="6364" max="6364" width="17.140625" style="85" customWidth="1"/>
    <col min="6365" max="6365" width="14.140625" style="85" customWidth="1"/>
    <col min="6366" max="6366" width="56.7109375" style="85" customWidth="1"/>
    <col min="6367" max="6367" width="16" style="85" customWidth="1"/>
    <col min="6368" max="6368" width="17.140625" style="85" bestFit="1" customWidth="1"/>
    <col min="6369" max="6376" width="0" style="85" hidden="1" customWidth="1"/>
    <col min="6377" max="6377" width="18.85546875" style="85" bestFit="1" customWidth="1"/>
    <col min="6378" max="6378" width="17.140625" style="85" customWidth="1"/>
    <col min="6379" max="6379" width="10.28515625" style="85" customWidth="1"/>
    <col min="6380" max="6380" width="16" style="85" bestFit="1" customWidth="1"/>
    <col min="6381" max="6381" width="19.42578125" style="85" customWidth="1"/>
    <col min="6382" max="6382" width="18.7109375" style="85" customWidth="1"/>
    <col min="6383" max="6383" width="10.28515625" style="85" customWidth="1"/>
    <col min="6384" max="6384" width="16" style="85" bestFit="1" customWidth="1"/>
    <col min="6385" max="6385" width="18.42578125" style="85" customWidth="1"/>
    <col min="6386" max="6386" width="13.28515625" style="85" customWidth="1"/>
    <col min="6387" max="6387" width="16.28515625" style="85" customWidth="1"/>
    <col min="6388" max="6388" width="19.28515625" style="85" bestFit="1" customWidth="1"/>
    <col min="6389" max="6389" width="19.42578125" style="85" bestFit="1" customWidth="1"/>
    <col min="6390" max="6393" width="16" style="85" bestFit="1" customWidth="1"/>
    <col min="6394" max="6394" width="18" style="85" bestFit="1" customWidth="1"/>
    <col min="6395" max="6614" width="11.5703125" style="85"/>
    <col min="6615" max="6615" width="33.7109375" style="85" customWidth="1"/>
    <col min="6616" max="6616" width="14.85546875" style="85" customWidth="1"/>
    <col min="6617" max="6617" width="12.85546875" style="85" customWidth="1"/>
    <col min="6618" max="6618" width="16.28515625" style="85" customWidth="1"/>
    <col min="6619" max="6619" width="17.140625" style="85" bestFit="1" customWidth="1"/>
    <col min="6620" max="6620" width="17.140625" style="85" customWidth="1"/>
    <col min="6621" max="6621" width="14.140625" style="85" customWidth="1"/>
    <col min="6622" max="6622" width="56.7109375" style="85" customWidth="1"/>
    <col min="6623" max="6623" width="16" style="85" customWidth="1"/>
    <col min="6624" max="6624" width="17.140625" style="85" bestFit="1" customWidth="1"/>
    <col min="6625" max="6632" width="0" style="85" hidden="1" customWidth="1"/>
    <col min="6633" max="6633" width="18.85546875" style="85" bestFit="1" customWidth="1"/>
    <col min="6634" max="6634" width="17.140625" style="85" customWidth="1"/>
    <col min="6635" max="6635" width="10.28515625" style="85" customWidth="1"/>
    <col min="6636" max="6636" width="16" style="85" bestFit="1" customWidth="1"/>
    <col min="6637" max="6637" width="19.42578125" style="85" customWidth="1"/>
    <col min="6638" max="6638" width="18.7109375" style="85" customWidth="1"/>
    <col min="6639" max="6639" width="10.28515625" style="85" customWidth="1"/>
    <col min="6640" max="6640" width="16" style="85" bestFit="1" customWidth="1"/>
    <col min="6641" max="6641" width="18.42578125" style="85" customWidth="1"/>
    <col min="6642" max="6642" width="13.28515625" style="85" customWidth="1"/>
    <col min="6643" max="6643" width="16.28515625" style="85" customWidth="1"/>
    <col min="6644" max="6644" width="19.28515625" style="85" bestFit="1" customWidth="1"/>
    <col min="6645" max="6645" width="19.42578125" style="85" bestFit="1" customWidth="1"/>
    <col min="6646" max="6649" width="16" style="85" bestFit="1" customWidth="1"/>
    <col min="6650" max="6650" width="18" style="85" bestFit="1" customWidth="1"/>
    <col min="6651" max="6870" width="11.5703125" style="85"/>
    <col min="6871" max="6871" width="33.7109375" style="85" customWidth="1"/>
    <col min="6872" max="6872" width="14.85546875" style="85" customWidth="1"/>
    <col min="6873" max="6873" width="12.85546875" style="85" customWidth="1"/>
    <col min="6874" max="6874" width="16.28515625" style="85" customWidth="1"/>
    <col min="6875" max="6875" width="17.140625" style="85" bestFit="1" customWidth="1"/>
    <col min="6876" max="6876" width="17.140625" style="85" customWidth="1"/>
    <col min="6877" max="6877" width="14.140625" style="85" customWidth="1"/>
    <col min="6878" max="6878" width="56.7109375" style="85" customWidth="1"/>
    <col min="6879" max="6879" width="16" style="85" customWidth="1"/>
    <col min="6880" max="6880" width="17.140625" style="85" bestFit="1" customWidth="1"/>
    <col min="6881" max="6888" width="0" style="85" hidden="1" customWidth="1"/>
    <col min="6889" max="6889" width="18.85546875" style="85" bestFit="1" customWidth="1"/>
    <col min="6890" max="6890" width="17.140625" style="85" customWidth="1"/>
    <col min="6891" max="6891" width="10.28515625" style="85" customWidth="1"/>
    <col min="6892" max="6892" width="16" style="85" bestFit="1" customWidth="1"/>
    <col min="6893" max="6893" width="19.42578125" style="85" customWidth="1"/>
    <col min="6894" max="6894" width="18.7109375" style="85" customWidth="1"/>
    <col min="6895" max="6895" width="10.28515625" style="85" customWidth="1"/>
    <col min="6896" max="6896" width="16" style="85" bestFit="1" customWidth="1"/>
    <col min="6897" max="6897" width="18.42578125" style="85" customWidth="1"/>
    <col min="6898" max="6898" width="13.28515625" style="85" customWidth="1"/>
    <col min="6899" max="6899" width="16.28515625" style="85" customWidth="1"/>
    <col min="6900" max="6900" width="19.28515625" style="85" bestFit="1" customWidth="1"/>
    <col min="6901" max="6901" width="19.42578125" style="85" bestFit="1" customWidth="1"/>
    <col min="6902" max="6905" width="16" style="85" bestFit="1" customWidth="1"/>
    <col min="6906" max="6906" width="18" style="85" bestFit="1" customWidth="1"/>
    <col min="6907" max="7126" width="11.5703125" style="85"/>
    <col min="7127" max="7127" width="33.7109375" style="85" customWidth="1"/>
    <col min="7128" max="7128" width="14.85546875" style="85" customWidth="1"/>
    <col min="7129" max="7129" width="12.85546875" style="85" customWidth="1"/>
    <col min="7130" max="7130" width="16.28515625" style="85" customWidth="1"/>
    <col min="7131" max="7131" width="17.140625" style="85" bestFit="1" customWidth="1"/>
    <col min="7132" max="7132" width="17.140625" style="85" customWidth="1"/>
    <col min="7133" max="7133" width="14.140625" style="85" customWidth="1"/>
    <col min="7134" max="7134" width="56.7109375" style="85" customWidth="1"/>
    <col min="7135" max="7135" width="16" style="85" customWidth="1"/>
    <col min="7136" max="7136" width="17.140625" style="85" bestFit="1" customWidth="1"/>
    <col min="7137" max="7144" width="0" style="85" hidden="1" customWidth="1"/>
    <col min="7145" max="7145" width="18.85546875" style="85" bestFit="1" customWidth="1"/>
    <col min="7146" max="7146" width="17.140625" style="85" customWidth="1"/>
    <col min="7147" max="7147" width="10.28515625" style="85" customWidth="1"/>
    <col min="7148" max="7148" width="16" style="85" bestFit="1" customWidth="1"/>
    <col min="7149" max="7149" width="19.42578125" style="85" customWidth="1"/>
    <col min="7150" max="7150" width="18.7109375" style="85" customWidth="1"/>
    <col min="7151" max="7151" width="10.28515625" style="85" customWidth="1"/>
    <col min="7152" max="7152" width="16" style="85" bestFit="1" customWidth="1"/>
    <col min="7153" max="7153" width="18.42578125" style="85" customWidth="1"/>
    <col min="7154" max="7154" width="13.28515625" style="85" customWidth="1"/>
    <col min="7155" max="7155" width="16.28515625" style="85" customWidth="1"/>
    <col min="7156" max="7156" width="19.28515625" style="85" bestFit="1" customWidth="1"/>
    <col min="7157" max="7157" width="19.42578125" style="85" bestFit="1" customWidth="1"/>
    <col min="7158" max="7161" width="16" style="85" bestFit="1" customWidth="1"/>
    <col min="7162" max="7162" width="18" style="85" bestFit="1" customWidth="1"/>
    <col min="7163" max="7382" width="11.5703125" style="85"/>
    <col min="7383" max="7383" width="33.7109375" style="85" customWidth="1"/>
    <col min="7384" max="7384" width="14.85546875" style="85" customWidth="1"/>
    <col min="7385" max="7385" width="12.85546875" style="85" customWidth="1"/>
    <col min="7386" max="7386" width="16.28515625" style="85" customWidth="1"/>
    <col min="7387" max="7387" width="17.140625" style="85" bestFit="1" customWidth="1"/>
    <col min="7388" max="7388" width="17.140625" style="85" customWidth="1"/>
    <col min="7389" max="7389" width="14.140625" style="85" customWidth="1"/>
    <col min="7390" max="7390" width="56.7109375" style="85" customWidth="1"/>
    <col min="7391" max="7391" width="16" style="85" customWidth="1"/>
    <col min="7392" max="7392" width="17.140625" style="85" bestFit="1" customWidth="1"/>
    <col min="7393" max="7400" width="0" style="85" hidden="1" customWidth="1"/>
    <col min="7401" max="7401" width="18.85546875" style="85" bestFit="1" customWidth="1"/>
    <col min="7402" max="7402" width="17.140625" style="85" customWidth="1"/>
    <col min="7403" max="7403" width="10.28515625" style="85" customWidth="1"/>
    <col min="7404" max="7404" width="16" style="85" bestFit="1" customWidth="1"/>
    <col min="7405" max="7405" width="19.42578125" style="85" customWidth="1"/>
    <col min="7406" max="7406" width="18.7109375" style="85" customWidth="1"/>
    <col min="7407" max="7407" width="10.28515625" style="85" customWidth="1"/>
    <col min="7408" max="7408" width="16" style="85" bestFit="1" customWidth="1"/>
    <col min="7409" max="7409" width="18.42578125" style="85" customWidth="1"/>
    <col min="7410" max="7410" width="13.28515625" style="85" customWidth="1"/>
    <col min="7411" max="7411" width="16.28515625" style="85" customWidth="1"/>
    <col min="7412" max="7412" width="19.28515625" style="85" bestFit="1" customWidth="1"/>
    <col min="7413" max="7413" width="19.42578125" style="85" bestFit="1" customWidth="1"/>
    <col min="7414" max="7417" width="16" style="85" bestFit="1" customWidth="1"/>
    <col min="7418" max="7418" width="18" style="85" bestFit="1" customWidth="1"/>
    <col min="7419" max="7638" width="11.5703125" style="85"/>
    <col min="7639" max="7639" width="33.7109375" style="85" customWidth="1"/>
    <col min="7640" max="7640" width="14.85546875" style="85" customWidth="1"/>
    <col min="7641" max="7641" width="12.85546875" style="85" customWidth="1"/>
    <col min="7642" max="7642" width="16.28515625" style="85" customWidth="1"/>
    <col min="7643" max="7643" width="17.140625" style="85" bestFit="1" customWidth="1"/>
    <col min="7644" max="7644" width="17.140625" style="85" customWidth="1"/>
    <col min="7645" max="7645" width="14.140625" style="85" customWidth="1"/>
    <col min="7646" max="7646" width="56.7109375" style="85" customWidth="1"/>
    <col min="7647" max="7647" width="16" style="85" customWidth="1"/>
    <col min="7648" max="7648" width="17.140625" style="85" bestFit="1" customWidth="1"/>
    <col min="7649" max="7656" width="0" style="85" hidden="1" customWidth="1"/>
    <col min="7657" max="7657" width="18.85546875" style="85" bestFit="1" customWidth="1"/>
    <col min="7658" max="7658" width="17.140625" style="85" customWidth="1"/>
    <col min="7659" max="7659" width="10.28515625" style="85" customWidth="1"/>
    <col min="7660" max="7660" width="16" style="85" bestFit="1" customWidth="1"/>
    <col min="7661" max="7661" width="19.42578125" style="85" customWidth="1"/>
    <col min="7662" max="7662" width="18.7109375" style="85" customWidth="1"/>
    <col min="7663" max="7663" width="10.28515625" style="85" customWidth="1"/>
    <col min="7664" max="7664" width="16" style="85" bestFit="1" customWidth="1"/>
    <col min="7665" max="7665" width="18.42578125" style="85" customWidth="1"/>
    <col min="7666" max="7666" width="13.28515625" style="85" customWidth="1"/>
    <col min="7667" max="7667" width="16.28515625" style="85" customWidth="1"/>
    <col min="7668" max="7668" width="19.28515625" style="85" bestFit="1" customWidth="1"/>
    <col min="7669" max="7669" width="19.42578125" style="85" bestFit="1" customWidth="1"/>
    <col min="7670" max="7673" width="16" style="85" bestFit="1" customWidth="1"/>
    <col min="7674" max="7674" width="18" style="85" bestFit="1" customWidth="1"/>
    <col min="7675" max="7894" width="11.5703125" style="85"/>
    <col min="7895" max="7895" width="33.7109375" style="85" customWidth="1"/>
    <col min="7896" max="7896" width="14.85546875" style="85" customWidth="1"/>
    <col min="7897" max="7897" width="12.85546875" style="85" customWidth="1"/>
    <col min="7898" max="7898" width="16.28515625" style="85" customWidth="1"/>
    <col min="7899" max="7899" width="17.140625" style="85" bestFit="1" customWidth="1"/>
    <col min="7900" max="7900" width="17.140625" style="85" customWidth="1"/>
    <col min="7901" max="7901" width="14.140625" style="85" customWidth="1"/>
    <col min="7902" max="7902" width="56.7109375" style="85" customWidth="1"/>
    <col min="7903" max="7903" width="16" style="85" customWidth="1"/>
    <col min="7904" max="7904" width="17.140625" style="85" bestFit="1" customWidth="1"/>
    <col min="7905" max="7912" width="0" style="85" hidden="1" customWidth="1"/>
    <col min="7913" max="7913" width="18.85546875" style="85" bestFit="1" customWidth="1"/>
    <col min="7914" max="7914" width="17.140625" style="85" customWidth="1"/>
    <col min="7915" max="7915" width="10.28515625" style="85" customWidth="1"/>
    <col min="7916" max="7916" width="16" style="85" bestFit="1" customWidth="1"/>
    <col min="7917" max="7917" width="19.42578125" style="85" customWidth="1"/>
    <col min="7918" max="7918" width="18.7109375" style="85" customWidth="1"/>
    <col min="7919" max="7919" width="10.28515625" style="85" customWidth="1"/>
    <col min="7920" max="7920" width="16" style="85" bestFit="1" customWidth="1"/>
    <col min="7921" max="7921" width="18.42578125" style="85" customWidth="1"/>
    <col min="7922" max="7922" width="13.28515625" style="85" customWidth="1"/>
    <col min="7923" max="7923" width="16.28515625" style="85" customWidth="1"/>
    <col min="7924" max="7924" width="19.28515625" style="85" bestFit="1" customWidth="1"/>
    <col min="7925" max="7925" width="19.42578125" style="85" bestFit="1" customWidth="1"/>
    <col min="7926" max="7929" width="16" style="85" bestFit="1" customWidth="1"/>
    <col min="7930" max="7930" width="18" style="85" bestFit="1" customWidth="1"/>
    <col min="7931" max="8150" width="11.5703125" style="85"/>
    <col min="8151" max="8151" width="33.7109375" style="85" customWidth="1"/>
    <col min="8152" max="8152" width="14.85546875" style="85" customWidth="1"/>
    <col min="8153" max="8153" width="12.85546875" style="85" customWidth="1"/>
    <col min="8154" max="8154" width="16.28515625" style="85" customWidth="1"/>
    <col min="8155" max="8155" width="17.140625" style="85" bestFit="1" customWidth="1"/>
    <col min="8156" max="8156" width="17.140625" style="85" customWidth="1"/>
    <col min="8157" max="8157" width="14.140625" style="85" customWidth="1"/>
    <col min="8158" max="8158" width="56.7109375" style="85" customWidth="1"/>
    <col min="8159" max="8159" width="16" style="85" customWidth="1"/>
    <col min="8160" max="8160" width="17.140625" style="85" bestFit="1" customWidth="1"/>
    <col min="8161" max="8168" width="0" style="85" hidden="1" customWidth="1"/>
    <col min="8169" max="8169" width="18.85546875" style="85" bestFit="1" customWidth="1"/>
    <col min="8170" max="8170" width="17.140625" style="85" customWidth="1"/>
    <col min="8171" max="8171" width="10.28515625" style="85" customWidth="1"/>
    <col min="8172" max="8172" width="16" style="85" bestFit="1" customWidth="1"/>
    <col min="8173" max="8173" width="19.42578125" style="85" customWidth="1"/>
    <col min="8174" max="8174" width="18.7109375" style="85" customWidth="1"/>
    <col min="8175" max="8175" width="10.28515625" style="85" customWidth="1"/>
    <col min="8176" max="8176" width="16" style="85" bestFit="1" customWidth="1"/>
    <col min="8177" max="8177" width="18.42578125" style="85" customWidth="1"/>
    <col min="8178" max="8178" width="13.28515625" style="85" customWidth="1"/>
    <col min="8179" max="8179" width="16.28515625" style="85" customWidth="1"/>
    <col min="8180" max="8180" width="19.28515625" style="85" bestFit="1" customWidth="1"/>
    <col min="8181" max="8181" width="19.42578125" style="85" bestFit="1" customWidth="1"/>
    <col min="8182" max="8185" width="16" style="85" bestFit="1" customWidth="1"/>
    <col min="8186" max="8186" width="18" style="85" bestFit="1" customWidth="1"/>
    <col min="8187" max="8406" width="11.5703125" style="85"/>
    <col min="8407" max="8407" width="33.7109375" style="85" customWidth="1"/>
    <col min="8408" max="8408" width="14.85546875" style="85" customWidth="1"/>
    <col min="8409" max="8409" width="12.85546875" style="85" customWidth="1"/>
    <col min="8410" max="8410" width="16.28515625" style="85" customWidth="1"/>
    <col min="8411" max="8411" width="17.140625" style="85" bestFit="1" customWidth="1"/>
    <col min="8412" max="8412" width="17.140625" style="85" customWidth="1"/>
    <col min="8413" max="8413" width="14.140625" style="85" customWidth="1"/>
    <col min="8414" max="8414" width="56.7109375" style="85" customWidth="1"/>
    <col min="8415" max="8415" width="16" style="85" customWidth="1"/>
    <col min="8416" max="8416" width="17.140625" style="85" bestFit="1" customWidth="1"/>
    <col min="8417" max="8424" width="0" style="85" hidden="1" customWidth="1"/>
    <col min="8425" max="8425" width="18.85546875" style="85" bestFit="1" customWidth="1"/>
    <col min="8426" max="8426" width="17.140625" style="85" customWidth="1"/>
    <col min="8427" max="8427" width="10.28515625" style="85" customWidth="1"/>
    <col min="8428" max="8428" width="16" style="85" bestFit="1" customWidth="1"/>
    <col min="8429" max="8429" width="19.42578125" style="85" customWidth="1"/>
    <col min="8430" max="8430" width="18.7109375" style="85" customWidth="1"/>
    <col min="8431" max="8431" width="10.28515625" style="85" customWidth="1"/>
    <col min="8432" max="8432" width="16" style="85" bestFit="1" customWidth="1"/>
    <col min="8433" max="8433" width="18.42578125" style="85" customWidth="1"/>
    <col min="8434" max="8434" width="13.28515625" style="85" customWidth="1"/>
    <col min="8435" max="8435" width="16.28515625" style="85" customWidth="1"/>
    <col min="8436" max="8436" width="19.28515625" style="85" bestFit="1" customWidth="1"/>
    <col min="8437" max="8437" width="19.42578125" style="85" bestFit="1" customWidth="1"/>
    <col min="8438" max="8441" width="16" style="85" bestFit="1" customWidth="1"/>
    <col min="8442" max="8442" width="18" style="85" bestFit="1" customWidth="1"/>
    <col min="8443" max="8662" width="11.5703125" style="85"/>
    <col min="8663" max="8663" width="33.7109375" style="85" customWidth="1"/>
    <col min="8664" max="8664" width="14.85546875" style="85" customWidth="1"/>
    <col min="8665" max="8665" width="12.85546875" style="85" customWidth="1"/>
    <col min="8666" max="8666" width="16.28515625" style="85" customWidth="1"/>
    <col min="8667" max="8667" width="17.140625" style="85" bestFit="1" customWidth="1"/>
    <col min="8668" max="8668" width="17.140625" style="85" customWidth="1"/>
    <col min="8669" max="8669" width="14.140625" style="85" customWidth="1"/>
    <col min="8670" max="8670" width="56.7109375" style="85" customWidth="1"/>
    <col min="8671" max="8671" width="16" style="85" customWidth="1"/>
    <col min="8672" max="8672" width="17.140625" style="85" bestFit="1" customWidth="1"/>
    <col min="8673" max="8680" width="0" style="85" hidden="1" customWidth="1"/>
    <col min="8681" max="8681" width="18.85546875" style="85" bestFit="1" customWidth="1"/>
    <col min="8682" max="8682" width="17.140625" style="85" customWidth="1"/>
    <col min="8683" max="8683" width="10.28515625" style="85" customWidth="1"/>
    <col min="8684" max="8684" width="16" style="85" bestFit="1" customWidth="1"/>
    <col min="8685" max="8685" width="19.42578125" style="85" customWidth="1"/>
    <col min="8686" max="8686" width="18.7109375" style="85" customWidth="1"/>
    <col min="8687" max="8687" width="10.28515625" style="85" customWidth="1"/>
    <col min="8688" max="8688" width="16" style="85" bestFit="1" customWidth="1"/>
    <col min="8689" max="8689" width="18.42578125" style="85" customWidth="1"/>
    <col min="8690" max="8690" width="13.28515625" style="85" customWidth="1"/>
    <col min="8691" max="8691" width="16.28515625" style="85" customWidth="1"/>
    <col min="8692" max="8692" width="19.28515625" style="85" bestFit="1" customWidth="1"/>
    <col min="8693" max="8693" width="19.42578125" style="85" bestFit="1" customWidth="1"/>
    <col min="8694" max="8697" width="16" style="85" bestFit="1" customWidth="1"/>
    <col min="8698" max="8698" width="18" style="85" bestFit="1" customWidth="1"/>
    <col min="8699" max="8918" width="11.5703125" style="85"/>
    <col min="8919" max="8919" width="33.7109375" style="85" customWidth="1"/>
    <col min="8920" max="8920" width="14.85546875" style="85" customWidth="1"/>
    <col min="8921" max="8921" width="12.85546875" style="85" customWidth="1"/>
    <col min="8922" max="8922" width="16.28515625" style="85" customWidth="1"/>
    <col min="8923" max="8923" width="17.140625" style="85" bestFit="1" customWidth="1"/>
    <col min="8924" max="8924" width="17.140625" style="85" customWidth="1"/>
    <col min="8925" max="8925" width="14.140625" style="85" customWidth="1"/>
    <col min="8926" max="8926" width="56.7109375" style="85" customWidth="1"/>
    <col min="8927" max="8927" width="16" style="85" customWidth="1"/>
    <col min="8928" max="8928" width="17.140625" style="85" bestFit="1" customWidth="1"/>
    <col min="8929" max="8936" width="0" style="85" hidden="1" customWidth="1"/>
    <col min="8937" max="8937" width="18.85546875" style="85" bestFit="1" customWidth="1"/>
    <col min="8938" max="8938" width="17.140625" style="85" customWidth="1"/>
    <col min="8939" max="8939" width="10.28515625" style="85" customWidth="1"/>
    <col min="8940" max="8940" width="16" style="85" bestFit="1" customWidth="1"/>
    <col min="8941" max="8941" width="19.42578125" style="85" customWidth="1"/>
    <col min="8942" max="8942" width="18.7109375" style="85" customWidth="1"/>
    <col min="8943" max="8943" width="10.28515625" style="85" customWidth="1"/>
    <col min="8944" max="8944" width="16" style="85" bestFit="1" customWidth="1"/>
    <col min="8945" max="8945" width="18.42578125" style="85" customWidth="1"/>
    <col min="8946" max="8946" width="13.28515625" style="85" customWidth="1"/>
    <col min="8947" max="8947" width="16.28515625" style="85" customWidth="1"/>
    <col min="8948" max="8948" width="19.28515625" style="85" bestFit="1" customWidth="1"/>
    <col min="8949" max="8949" width="19.42578125" style="85" bestFit="1" customWidth="1"/>
    <col min="8950" max="8953" width="16" style="85" bestFit="1" customWidth="1"/>
    <col min="8954" max="8954" width="18" style="85" bestFit="1" customWidth="1"/>
    <col min="8955" max="9174" width="11.5703125" style="85"/>
    <col min="9175" max="9175" width="33.7109375" style="85" customWidth="1"/>
    <col min="9176" max="9176" width="14.85546875" style="85" customWidth="1"/>
    <col min="9177" max="9177" width="12.85546875" style="85" customWidth="1"/>
    <col min="9178" max="9178" width="16.28515625" style="85" customWidth="1"/>
    <col min="9179" max="9179" width="17.140625" style="85" bestFit="1" customWidth="1"/>
    <col min="9180" max="9180" width="17.140625" style="85" customWidth="1"/>
    <col min="9181" max="9181" width="14.140625" style="85" customWidth="1"/>
    <col min="9182" max="9182" width="56.7109375" style="85" customWidth="1"/>
    <col min="9183" max="9183" width="16" style="85" customWidth="1"/>
    <col min="9184" max="9184" width="17.140625" style="85" bestFit="1" customWidth="1"/>
    <col min="9185" max="9192" width="0" style="85" hidden="1" customWidth="1"/>
    <col min="9193" max="9193" width="18.85546875" style="85" bestFit="1" customWidth="1"/>
    <col min="9194" max="9194" width="17.140625" style="85" customWidth="1"/>
    <col min="9195" max="9195" width="10.28515625" style="85" customWidth="1"/>
    <col min="9196" max="9196" width="16" style="85" bestFit="1" customWidth="1"/>
    <col min="9197" max="9197" width="19.42578125" style="85" customWidth="1"/>
    <col min="9198" max="9198" width="18.7109375" style="85" customWidth="1"/>
    <col min="9199" max="9199" width="10.28515625" style="85" customWidth="1"/>
    <col min="9200" max="9200" width="16" style="85" bestFit="1" customWidth="1"/>
    <col min="9201" max="9201" width="18.42578125" style="85" customWidth="1"/>
    <col min="9202" max="9202" width="13.28515625" style="85" customWidth="1"/>
    <col min="9203" max="9203" width="16.28515625" style="85" customWidth="1"/>
    <col min="9204" max="9204" width="19.28515625" style="85" bestFit="1" customWidth="1"/>
    <col min="9205" max="9205" width="19.42578125" style="85" bestFit="1" customWidth="1"/>
    <col min="9206" max="9209" width="16" style="85" bestFit="1" customWidth="1"/>
    <col min="9210" max="9210" width="18" style="85" bestFit="1" customWidth="1"/>
    <col min="9211" max="9430" width="11.5703125" style="85"/>
    <col min="9431" max="9431" width="33.7109375" style="85" customWidth="1"/>
    <col min="9432" max="9432" width="14.85546875" style="85" customWidth="1"/>
    <col min="9433" max="9433" width="12.85546875" style="85" customWidth="1"/>
    <col min="9434" max="9434" width="16.28515625" style="85" customWidth="1"/>
    <col min="9435" max="9435" width="17.140625" style="85" bestFit="1" customWidth="1"/>
    <col min="9436" max="9436" width="17.140625" style="85" customWidth="1"/>
    <col min="9437" max="9437" width="14.140625" style="85" customWidth="1"/>
    <col min="9438" max="9438" width="56.7109375" style="85" customWidth="1"/>
    <col min="9439" max="9439" width="16" style="85" customWidth="1"/>
    <col min="9440" max="9440" width="17.140625" style="85" bestFit="1" customWidth="1"/>
    <col min="9441" max="9448" width="0" style="85" hidden="1" customWidth="1"/>
    <col min="9449" max="9449" width="18.85546875" style="85" bestFit="1" customWidth="1"/>
    <col min="9450" max="9450" width="17.140625" style="85" customWidth="1"/>
    <col min="9451" max="9451" width="10.28515625" style="85" customWidth="1"/>
    <col min="9452" max="9452" width="16" style="85" bestFit="1" customWidth="1"/>
    <col min="9453" max="9453" width="19.42578125" style="85" customWidth="1"/>
    <col min="9454" max="9454" width="18.7109375" style="85" customWidth="1"/>
    <col min="9455" max="9455" width="10.28515625" style="85" customWidth="1"/>
    <col min="9456" max="9456" width="16" style="85" bestFit="1" customWidth="1"/>
    <col min="9457" max="9457" width="18.42578125" style="85" customWidth="1"/>
    <col min="9458" max="9458" width="13.28515625" style="85" customWidth="1"/>
    <col min="9459" max="9459" width="16.28515625" style="85" customWidth="1"/>
    <col min="9460" max="9460" width="19.28515625" style="85" bestFit="1" customWidth="1"/>
    <col min="9461" max="9461" width="19.42578125" style="85" bestFit="1" customWidth="1"/>
    <col min="9462" max="9465" width="16" style="85" bestFit="1" customWidth="1"/>
    <col min="9466" max="9466" width="18" style="85" bestFit="1" customWidth="1"/>
    <col min="9467" max="9686" width="11.5703125" style="85"/>
    <col min="9687" max="9687" width="33.7109375" style="85" customWidth="1"/>
    <col min="9688" max="9688" width="14.85546875" style="85" customWidth="1"/>
    <col min="9689" max="9689" width="12.85546875" style="85" customWidth="1"/>
    <col min="9690" max="9690" width="16.28515625" style="85" customWidth="1"/>
    <col min="9691" max="9691" width="17.140625" style="85" bestFit="1" customWidth="1"/>
    <col min="9692" max="9692" width="17.140625" style="85" customWidth="1"/>
    <col min="9693" max="9693" width="14.140625" style="85" customWidth="1"/>
    <col min="9694" max="9694" width="56.7109375" style="85" customWidth="1"/>
    <col min="9695" max="9695" width="16" style="85" customWidth="1"/>
    <col min="9696" max="9696" width="17.140625" style="85" bestFit="1" customWidth="1"/>
    <col min="9697" max="9704" width="0" style="85" hidden="1" customWidth="1"/>
    <col min="9705" max="9705" width="18.85546875" style="85" bestFit="1" customWidth="1"/>
    <col min="9706" max="9706" width="17.140625" style="85" customWidth="1"/>
    <col min="9707" max="9707" width="10.28515625" style="85" customWidth="1"/>
    <col min="9708" max="9708" width="16" style="85" bestFit="1" customWidth="1"/>
    <col min="9709" max="9709" width="19.42578125" style="85" customWidth="1"/>
    <col min="9710" max="9710" width="18.7109375" style="85" customWidth="1"/>
    <col min="9711" max="9711" width="10.28515625" style="85" customWidth="1"/>
    <col min="9712" max="9712" width="16" style="85" bestFit="1" customWidth="1"/>
    <col min="9713" max="9713" width="18.42578125" style="85" customWidth="1"/>
    <col min="9714" max="9714" width="13.28515625" style="85" customWidth="1"/>
    <col min="9715" max="9715" width="16.28515625" style="85" customWidth="1"/>
    <col min="9716" max="9716" width="19.28515625" style="85" bestFit="1" customWidth="1"/>
    <col min="9717" max="9717" width="19.42578125" style="85" bestFit="1" customWidth="1"/>
    <col min="9718" max="9721" width="16" style="85" bestFit="1" customWidth="1"/>
    <col min="9722" max="9722" width="18" style="85" bestFit="1" customWidth="1"/>
    <col min="9723" max="9942" width="11.5703125" style="85"/>
    <col min="9943" max="9943" width="33.7109375" style="85" customWidth="1"/>
    <col min="9944" max="9944" width="14.85546875" style="85" customWidth="1"/>
    <col min="9945" max="9945" width="12.85546875" style="85" customWidth="1"/>
    <col min="9946" max="9946" width="16.28515625" style="85" customWidth="1"/>
    <col min="9947" max="9947" width="17.140625" style="85" bestFit="1" customWidth="1"/>
    <col min="9948" max="9948" width="17.140625" style="85" customWidth="1"/>
    <col min="9949" max="9949" width="14.140625" style="85" customWidth="1"/>
    <col min="9950" max="9950" width="56.7109375" style="85" customWidth="1"/>
    <col min="9951" max="9951" width="16" style="85" customWidth="1"/>
    <col min="9952" max="9952" width="17.140625" style="85" bestFit="1" customWidth="1"/>
    <col min="9953" max="9960" width="0" style="85" hidden="1" customWidth="1"/>
    <col min="9961" max="9961" width="18.85546875" style="85" bestFit="1" customWidth="1"/>
    <col min="9962" max="9962" width="17.140625" style="85" customWidth="1"/>
    <col min="9963" max="9963" width="10.28515625" style="85" customWidth="1"/>
    <col min="9964" max="9964" width="16" style="85" bestFit="1" customWidth="1"/>
    <col min="9965" max="9965" width="19.42578125" style="85" customWidth="1"/>
    <col min="9966" max="9966" width="18.7109375" style="85" customWidth="1"/>
    <col min="9967" max="9967" width="10.28515625" style="85" customWidth="1"/>
    <col min="9968" max="9968" width="16" style="85" bestFit="1" customWidth="1"/>
    <col min="9969" max="9969" width="18.42578125" style="85" customWidth="1"/>
    <col min="9970" max="9970" width="13.28515625" style="85" customWidth="1"/>
    <col min="9971" max="9971" width="16.28515625" style="85" customWidth="1"/>
    <col min="9972" max="9972" width="19.28515625" style="85" bestFit="1" customWidth="1"/>
    <col min="9973" max="9973" width="19.42578125" style="85" bestFit="1" customWidth="1"/>
    <col min="9974" max="9977" width="16" style="85" bestFit="1" customWidth="1"/>
    <col min="9978" max="9978" width="18" style="85" bestFit="1" customWidth="1"/>
    <col min="9979" max="10198" width="11.5703125" style="85"/>
    <col min="10199" max="10199" width="33.7109375" style="85" customWidth="1"/>
    <col min="10200" max="10200" width="14.85546875" style="85" customWidth="1"/>
    <col min="10201" max="10201" width="12.85546875" style="85" customWidth="1"/>
    <col min="10202" max="10202" width="16.28515625" style="85" customWidth="1"/>
    <col min="10203" max="10203" width="17.140625" style="85" bestFit="1" customWidth="1"/>
    <col min="10204" max="10204" width="17.140625" style="85" customWidth="1"/>
    <col min="10205" max="10205" width="14.140625" style="85" customWidth="1"/>
    <col min="10206" max="10206" width="56.7109375" style="85" customWidth="1"/>
    <col min="10207" max="10207" width="16" style="85" customWidth="1"/>
    <col min="10208" max="10208" width="17.140625" style="85" bestFit="1" customWidth="1"/>
    <col min="10209" max="10216" width="0" style="85" hidden="1" customWidth="1"/>
    <col min="10217" max="10217" width="18.85546875" style="85" bestFit="1" customWidth="1"/>
    <col min="10218" max="10218" width="17.140625" style="85" customWidth="1"/>
    <col min="10219" max="10219" width="10.28515625" style="85" customWidth="1"/>
    <col min="10220" max="10220" width="16" style="85" bestFit="1" customWidth="1"/>
    <col min="10221" max="10221" width="19.42578125" style="85" customWidth="1"/>
    <col min="10222" max="10222" width="18.7109375" style="85" customWidth="1"/>
    <col min="10223" max="10223" width="10.28515625" style="85" customWidth="1"/>
    <col min="10224" max="10224" width="16" style="85" bestFit="1" customWidth="1"/>
    <col min="10225" max="10225" width="18.42578125" style="85" customWidth="1"/>
    <col min="10226" max="10226" width="13.28515625" style="85" customWidth="1"/>
    <col min="10227" max="10227" width="16.28515625" style="85" customWidth="1"/>
    <col min="10228" max="10228" width="19.28515625" style="85" bestFit="1" customWidth="1"/>
    <col min="10229" max="10229" width="19.42578125" style="85" bestFit="1" customWidth="1"/>
    <col min="10230" max="10233" width="16" style="85" bestFit="1" customWidth="1"/>
    <col min="10234" max="10234" width="18" style="85" bestFit="1" customWidth="1"/>
    <col min="10235" max="10454" width="11.5703125" style="85"/>
    <col min="10455" max="10455" width="33.7109375" style="85" customWidth="1"/>
    <col min="10456" max="10456" width="14.85546875" style="85" customWidth="1"/>
    <col min="10457" max="10457" width="12.85546875" style="85" customWidth="1"/>
    <col min="10458" max="10458" width="16.28515625" style="85" customWidth="1"/>
    <col min="10459" max="10459" width="17.140625" style="85" bestFit="1" customWidth="1"/>
    <col min="10460" max="10460" width="17.140625" style="85" customWidth="1"/>
    <col min="10461" max="10461" width="14.140625" style="85" customWidth="1"/>
    <col min="10462" max="10462" width="56.7109375" style="85" customWidth="1"/>
    <col min="10463" max="10463" width="16" style="85" customWidth="1"/>
    <col min="10464" max="10464" width="17.140625" style="85" bestFit="1" customWidth="1"/>
    <col min="10465" max="10472" width="0" style="85" hidden="1" customWidth="1"/>
    <col min="10473" max="10473" width="18.85546875" style="85" bestFit="1" customWidth="1"/>
    <col min="10474" max="10474" width="17.140625" style="85" customWidth="1"/>
    <col min="10475" max="10475" width="10.28515625" style="85" customWidth="1"/>
    <col min="10476" max="10476" width="16" style="85" bestFit="1" customWidth="1"/>
    <col min="10477" max="10477" width="19.42578125" style="85" customWidth="1"/>
    <col min="10478" max="10478" width="18.7109375" style="85" customWidth="1"/>
    <col min="10479" max="10479" width="10.28515625" style="85" customWidth="1"/>
    <col min="10480" max="10480" width="16" style="85" bestFit="1" customWidth="1"/>
    <col min="10481" max="10481" width="18.42578125" style="85" customWidth="1"/>
    <col min="10482" max="10482" width="13.28515625" style="85" customWidth="1"/>
    <col min="10483" max="10483" width="16.28515625" style="85" customWidth="1"/>
    <col min="10484" max="10484" width="19.28515625" style="85" bestFit="1" customWidth="1"/>
    <col min="10485" max="10485" width="19.42578125" style="85" bestFit="1" customWidth="1"/>
    <col min="10486" max="10489" width="16" style="85" bestFit="1" customWidth="1"/>
    <col min="10490" max="10490" width="18" style="85" bestFit="1" customWidth="1"/>
    <col min="10491" max="10710" width="11.5703125" style="85"/>
    <col min="10711" max="10711" width="33.7109375" style="85" customWidth="1"/>
    <col min="10712" max="10712" width="14.85546875" style="85" customWidth="1"/>
    <col min="10713" max="10713" width="12.85546875" style="85" customWidth="1"/>
    <col min="10714" max="10714" width="16.28515625" style="85" customWidth="1"/>
    <col min="10715" max="10715" width="17.140625" style="85" bestFit="1" customWidth="1"/>
    <col min="10716" max="10716" width="17.140625" style="85" customWidth="1"/>
    <col min="10717" max="10717" width="14.140625" style="85" customWidth="1"/>
    <col min="10718" max="10718" width="56.7109375" style="85" customWidth="1"/>
    <col min="10719" max="10719" width="16" style="85" customWidth="1"/>
    <col min="10720" max="10720" width="17.140625" style="85" bestFit="1" customWidth="1"/>
    <col min="10721" max="10728" width="0" style="85" hidden="1" customWidth="1"/>
    <col min="10729" max="10729" width="18.85546875" style="85" bestFit="1" customWidth="1"/>
    <col min="10730" max="10730" width="17.140625" style="85" customWidth="1"/>
    <col min="10731" max="10731" width="10.28515625" style="85" customWidth="1"/>
    <col min="10732" max="10732" width="16" style="85" bestFit="1" customWidth="1"/>
    <col min="10733" max="10733" width="19.42578125" style="85" customWidth="1"/>
    <col min="10734" max="10734" width="18.7109375" style="85" customWidth="1"/>
    <col min="10735" max="10735" width="10.28515625" style="85" customWidth="1"/>
    <col min="10736" max="10736" width="16" style="85" bestFit="1" customWidth="1"/>
    <col min="10737" max="10737" width="18.42578125" style="85" customWidth="1"/>
    <col min="10738" max="10738" width="13.28515625" style="85" customWidth="1"/>
    <col min="10739" max="10739" width="16.28515625" style="85" customWidth="1"/>
    <col min="10740" max="10740" width="19.28515625" style="85" bestFit="1" customWidth="1"/>
    <col min="10741" max="10741" width="19.42578125" style="85" bestFit="1" customWidth="1"/>
    <col min="10742" max="10745" width="16" style="85" bestFit="1" customWidth="1"/>
    <col min="10746" max="10746" width="18" style="85" bestFit="1" customWidth="1"/>
    <col min="10747" max="10966" width="11.5703125" style="85"/>
    <col min="10967" max="10967" width="33.7109375" style="85" customWidth="1"/>
    <col min="10968" max="10968" width="14.85546875" style="85" customWidth="1"/>
    <col min="10969" max="10969" width="12.85546875" style="85" customWidth="1"/>
    <col min="10970" max="10970" width="16.28515625" style="85" customWidth="1"/>
    <col min="10971" max="10971" width="17.140625" style="85" bestFit="1" customWidth="1"/>
    <col min="10972" max="10972" width="17.140625" style="85" customWidth="1"/>
    <col min="10973" max="10973" width="14.140625" style="85" customWidth="1"/>
    <col min="10974" max="10974" width="56.7109375" style="85" customWidth="1"/>
    <col min="10975" max="10975" width="16" style="85" customWidth="1"/>
    <col min="10976" max="10976" width="17.140625" style="85" bestFit="1" customWidth="1"/>
    <col min="10977" max="10984" width="0" style="85" hidden="1" customWidth="1"/>
    <col min="10985" max="10985" width="18.85546875" style="85" bestFit="1" customWidth="1"/>
    <col min="10986" max="10986" width="17.140625" style="85" customWidth="1"/>
    <col min="10987" max="10987" width="10.28515625" style="85" customWidth="1"/>
    <col min="10988" max="10988" width="16" style="85" bestFit="1" customWidth="1"/>
    <col min="10989" max="10989" width="19.42578125" style="85" customWidth="1"/>
    <col min="10990" max="10990" width="18.7109375" style="85" customWidth="1"/>
    <col min="10991" max="10991" width="10.28515625" style="85" customWidth="1"/>
    <col min="10992" max="10992" width="16" style="85" bestFit="1" customWidth="1"/>
    <col min="10993" max="10993" width="18.42578125" style="85" customWidth="1"/>
    <col min="10994" max="10994" width="13.28515625" style="85" customWidth="1"/>
    <col min="10995" max="10995" width="16.28515625" style="85" customWidth="1"/>
    <col min="10996" max="10996" width="19.28515625" style="85" bestFit="1" customWidth="1"/>
    <col min="10997" max="10997" width="19.42578125" style="85" bestFit="1" customWidth="1"/>
    <col min="10998" max="11001" width="16" style="85" bestFit="1" customWidth="1"/>
    <col min="11002" max="11002" width="18" style="85" bestFit="1" customWidth="1"/>
    <col min="11003" max="11222" width="11.5703125" style="85"/>
    <col min="11223" max="11223" width="33.7109375" style="85" customWidth="1"/>
    <col min="11224" max="11224" width="14.85546875" style="85" customWidth="1"/>
    <col min="11225" max="11225" width="12.85546875" style="85" customWidth="1"/>
    <col min="11226" max="11226" width="16.28515625" style="85" customWidth="1"/>
    <col min="11227" max="11227" width="17.140625" style="85" bestFit="1" customWidth="1"/>
    <col min="11228" max="11228" width="17.140625" style="85" customWidth="1"/>
    <col min="11229" max="11229" width="14.140625" style="85" customWidth="1"/>
    <col min="11230" max="11230" width="56.7109375" style="85" customWidth="1"/>
    <col min="11231" max="11231" width="16" style="85" customWidth="1"/>
    <col min="11232" max="11232" width="17.140625" style="85" bestFit="1" customWidth="1"/>
    <col min="11233" max="11240" width="0" style="85" hidden="1" customWidth="1"/>
    <col min="11241" max="11241" width="18.85546875" style="85" bestFit="1" customWidth="1"/>
    <col min="11242" max="11242" width="17.140625" style="85" customWidth="1"/>
    <col min="11243" max="11243" width="10.28515625" style="85" customWidth="1"/>
    <col min="11244" max="11244" width="16" style="85" bestFit="1" customWidth="1"/>
    <col min="11245" max="11245" width="19.42578125" style="85" customWidth="1"/>
    <col min="11246" max="11246" width="18.7109375" style="85" customWidth="1"/>
    <col min="11247" max="11247" width="10.28515625" style="85" customWidth="1"/>
    <col min="11248" max="11248" width="16" style="85" bestFit="1" customWidth="1"/>
    <col min="11249" max="11249" width="18.42578125" style="85" customWidth="1"/>
    <col min="11250" max="11250" width="13.28515625" style="85" customWidth="1"/>
    <col min="11251" max="11251" width="16.28515625" style="85" customWidth="1"/>
    <col min="11252" max="11252" width="19.28515625" style="85" bestFit="1" customWidth="1"/>
    <col min="11253" max="11253" width="19.42578125" style="85" bestFit="1" customWidth="1"/>
    <col min="11254" max="11257" width="16" style="85" bestFit="1" customWidth="1"/>
    <col min="11258" max="11258" width="18" style="85" bestFit="1" customWidth="1"/>
    <col min="11259" max="11478" width="11.5703125" style="85"/>
    <col min="11479" max="11479" width="33.7109375" style="85" customWidth="1"/>
    <col min="11480" max="11480" width="14.85546875" style="85" customWidth="1"/>
    <col min="11481" max="11481" width="12.85546875" style="85" customWidth="1"/>
    <col min="11482" max="11482" width="16.28515625" style="85" customWidth="1"/>
    <col min="11483" max="11483" width="17.140625" style="85" bestFit="1" customWidth="1"/>
    <col min="11484" max="11484" width="17.140625" style="85" customWidth="1"/>
    <col min="11485" max="11485" width="14.140625" style="85" customWidth="1"/>
    <col min="11486" max="11486" width="56.7109375" style="85" customWidth="1"/>
    <col min="11487" max="11487" width="16" style="85" customWidth="1"/>
    <col min="11488" max="11488" width="17.140625" style="85" bestFit="1" customWidth="1"/>
    <col min="11489" max="11496" width="0" style="85" hidden="1" customWidth="1"/>
    <col min="11497" max="11497" width="18.85546875" style="85" bestFit="1" customWidth="1"/>
    <col min="11498" max="11498" width="17.140625" style="85" customWidth="1"/>
    <col min="11499" max="11499" width="10.28515625" style="85" customWidth="1"/>
    <col min="11500" max="11500" width="16" style="85" bestFit="1" customWidth="1"/>
    <col min="11501" max="11501" width="19.42578125" style="85" customWidth="1"/>
    <col min="11502" max="11502" width="18.7109375" style="85" customWidth="1"/>
    <col min="11503" max="11503" width="10.28515625" style="85" customWidth="1"/>
    <col min="11504" max="11504" width="16" style="85" bestFit="1" customWidth="1"/>
    <col min="11505" max="11505" width="18.42578125" style="85" customWidth="1"/>
    <col min="11506" max="11506" width="13.28515625" style="85" customWidth="1"/>
    <col min="11507" max="11507" width="16.28515625" style="85" customWidth="1"/>
    <col min="11508" max="11508" width="19.28515625" style="85" bestFit="1" customWidth="1"/>
    <col min="11509" max="11509" width="19.42578125" style="85" bestFit="1" customWidth="1"/>
    <col min="11510" max="11513" width="16" style="85" bestFit="1" customWidth="1"/>
    <col min="11514" max="11514" width="18" style="85" bestFit="1" customWidth="1"/>
    <col min="11515" max="11734" width="11.5703125" style="85"/>
    <col min="11735" max="11735" width="33.7109375" style="85" customWidth="1"/>
    <col min="11736" max="11736" width="14.85546875" style="85" customWidth="1"/>
    <col min="11737" max="11737" width="12.85546875" style="85" customWidth="1"/>
    <col min="11738" max="11738" width="16.28515625" style="85" customWidth="1"/>
    <col min="11739" max="11739" width="17.140625" style="85" bestFit="1" customWidth="1"/>
    <col min="11740" max="11740" width="17.140625" style="85" customWidth="1"/>
    <col min="11741" max="11741" width="14.140625" style="85" customWidth="1"/>
    <col min="11742" max="11742" width="56.7109375" style="85" customWidth="1"/>
    <col min="11743" max="11743" width="16" style="85" customWidth="1"/>
    <col min="11744" max="11744" width="17.140625" style="85" bestFit="1" customWidth="1"/>
    <col min="11745" max="11752" width="0" style="85" hidden="1" customWidth="1"/>
    <col min="11753" max="11753" width="18.85546875" style="85" bestFit="1" customWidth="1"/>
    <col min="11754" max="11754" width="17.140625" style="85" customWidth="1"/>
    <col min="11755" max="11755" width="10.28515625" style="85" customWidth="1"/>
    <col min="11756" max="11756" width="16" style="85" bestFit="1" customWidth="1"/>
    <col min="11757" max="11757" width="19.42578125" style="85" customWidth="1"/>
    <col min="11758" max="11758" width="18.7109375" style="85" customWidth="1"/>
    <col min="11759" max="11759" width="10.28515625" style="85" customWidth="1"/>
    <col min="11760" max="11760" width="16" style="85" bestFit="1" customWidth="1"/>
    <col min="11761" max="11761" width="18.42578125" style="85" customWidth="1"/>
    <col min="11762" max="11762" width="13.28515625" style="85" customWidth="1"/>
    <col min="11763" max="11763" width="16.28515625" style="85" customWidth="1"/>
    <col min="11764" max="11764" width="19.28515625" style="85" bestFit="1" customWidth="1"/>
    <col min="11765" max="11765" width="19.42578125" style="85" bestFit="1" customWidth="1"/>
    <col min="11766" max="11769" width="16" style="85" bestFit="1" customWidth="1"/>
    <col min="11770" max="11770" width="18" style="85" bestFit="1" customWidth="1"/>
    <col min="11771" max="11990" width="11.5703125" style="85"/>
    <col min="11991" max="11991" width="33.7109375" style="85" customWidth="1"/>
    <col min="11992" max="11992" width="14.85546875" style="85" customWidth="1"/>
    <col min="11993" max="11993" width="12.85546875" style="85" customWidth="1"/>
    <col min="11994" max="11994" width="16.28515625" style="85" customWidth="1"/>
    <col min="11995" max="11995" width="17.140625" style="85" bestFit="1" customWidth="1"/>
    <col min="11996" max="11996" width="17.140625" style="85" customWidth="1"/>
    <col min="11997" max="11997" width="14.140625" style="85" customWidth="1"/>
    <col min="11998" max="11998" width="56.7109375" style="85" customWidth="1"/>
    <col min="11999" max="11999" width="16" style="85" customWidth="1"/>
    <col min="12000" max="12000" width="17.140625" style="85" bestFit="1" customWidth="1"/>
    <col min="12001" max="12008" width="0" style="85" hidden="1" customWidth="1"/>
    <col min="12009" max="12009" width="18.85546875" style="85" bestFit="1" customWidth="1"/>
    <col min="12010" max="12010" width="17.140625" style="85" customWidth="1"/>
    <col min="12011" max="12011" width="10.28515625" style="85" customWidth="1"/>
    <col min="12012" max="12012" width="16" style="85" bestFit="1" customWidth="1"/>
    <col min="12013" max="12013" width="19.42578125" style="85" customWidth="1"/>
    <col min="12014" max="12014" width="18.7109375" style="85" customWidth="1"/>
    <col min="12015" max="12015" width="10.28515625" style="85" customWidth="1"/>
    <col min="12016" max="12016" width="16" style="85" bestFit="1" customWidth="1"/>
    <col min="12017" max="12017" width="18.42578125" style="85" customWidth="1"/>
    <col min="12018" max="12018" width="13.28515625" style="85" customWidth="1"/>
    <col min="12019" max="12019" width="16.28515625" style="85" customWidth="1"/>
    <col min="12020" max="12020" width="19.28515625" style="85" bestFit="1" customWidth="1"/>
    <col min="12021" max="12021" width="19.42578125" style="85" bestFit="1" customWidth="1"/>
    <col min="12022" max="12025" width="16" style="85" bestFit="1" customWidth="1"/>
    <col min="12026" max="12026" width="18" style="85" bestFit="1" customWidth="1"/>
    <col min="12027" max="12246" width="11.5703125" style="85"/>
    <col min="12247" max="12247" width="33.7109375" style="85" customWidth="1"/>
    <col min="12248" max="12248" width="14.85546875" style="85" customWidth="1"/>
    <col min="12249" max="12249" width="12.85546875" style="85" customWidth="1"/>
    <col min="12250" max="12250" width="16.28515625" style="85" customWidth="1"/>
    <col min="12251" max="12251" width="17.140625" style="85" bestFit="1" customWidth="1"/>
    <col min="12252" max="12252" width="17.140625" style="85" customWidth="1"/>
    <col min="12253" max="12253" width="14.140625" style="85" customWidth="1"/>
    <col min="12254" max="12254" width="56.7109375" style="85" customWidth="1"/>
    <col min="12255" max="12255" width="16" style="85" customWidth="1"/>
    <col min="12256" max="12256" width="17.140625" style="85" bestFit="1" customWidth="1"/>
    <col min="12257" max="12264" width="0" style="85" hidden="1" customWidth="1"/>
    <col min="12265" max="12265" width="18.85546875" style="85" bestFit="1" customWidth="1"/>
    <col min="12266" max="12266" width="17.140625" style="85" customWidth="1"/>
    <col min="12267" max="12267" width="10.28515625" style="85" customWidth="1"/>
    <col min="12268" max="12268" width="16" style="85" bestFit="1" customWidth="1"/>
    <col min="12269" max="12269" width="19.42578125" style="85" customWidth="1"/>
    <col min="12270" max="12270" width="18.7109375" style="85" customWidth="1"/>
    <col min="12271" max="12271" width="10.28515625" style="85" customWidth="1"/>
    <col min="12272" max="12272" width="16" style="85" bestFit="1" customWidth="1"/>
    <col min="12273" max="12273" width="18.42578125" style="85" customWidth="1"/>
    <col min="12274" max="12274" width="13.28515625" style="85" customWidth="1"/>
    <col min="12275" max="12275" width="16.28515625" style="85" customWidth="1"/>
    <col min="12276" max="12276" width="19.28515625" style="85" bestFit="1" customWidth="1"/>
    <col min="12277" max="12277" width="19.42578125" style="85" bestFit="1" customWidth="1"/>
    <col min="12278" max="12281" width="16" style="85" bestFit="1" customWidth="1"/>
    <col min="12282" max="12282" width="18" style="85" bestFit="1" customWidth="1"/>
    <col min="12283" max="12502" width="11.5703125" style="85"/>
    <col min="12503" max="12503" width="33.7109375" style="85" customWidth="1"/>
    <col min="12504" max="12504" width="14.85546875" style="85" customWidth="1"/>
    <col min="12505" max="12505" width="12.85546875" style="85" customWidth="1"/>
    <col min="12506" max="12506" width="16.28515625" style="85" customWidth="1"/>
    <col min="12507" max="12507" width="17.140625" style="85" bestFit="1" customWidth="1"/>
    <col min="12508" max="12508" width="17.140625" style="85" customWidth="1"/>
    <col min="12509" max="12509" width="14.140625" style="85" customWidth="1"/>
    <col min="12510" max="12510" width="56.7109375" style="85" customWidth="1"/>
    <col min="12511" max="12511" width="16" style="85" customWidth="1"/>
    <col min="12512" max="12512" width="17.140625" style="85" bestFit="1" customWidth="1"/>
    <col min="12513" max="12520" width="0" style="85" hidden="1" customWidth="1"/>
    <col min="12521" max="12521" width="18.85546875" style="85" bestFit="1" customWidth="1"/>
    <col min="12522" max="12522" width="17.140625" style="85" customWidth="1"/>
    <col min="12523" max="12523" width="10.28515625" style="85" customWidth="1"/>
    <col min="12524" max="12524" width="16" style="85" bestFit="1" customWidth="1"/>
    <col min="12525" max="12525" width="19.42578125" style="85" customWidth="1"/>
    <col min="12526" max="12526" width="18.7109375" style="85" customWidth="1"/>
    <col min="12527" max="12527" width="10.28515625" style="85" customWidth="1"/>
    <col min="12528" max="12528" width="16" style="85" bestFit="1" customWidth="1"/>
    <col min="12529" max="12529" width="18.42578125" style="85" customWidth="1"/>
    <col min="12530" max="12530" width="13.28515625" style="85" customWidth="1"/>
    <col min="12531" max="12531" width="16.28515625" style="85" customWidth="1"/>
    <col min="12532" max="12532" width="19.28515625" style="85" bestFit="1" customWidth="1"/>
    <col min="12533" max="12533" width="19.42578125" style="85" bestFit="1" customWidth="1"/>
    <col min="12534" max="12537" width="16" style="85" bestFit="1" customWidth="1"/>
    <col min="12538" max="12538" width="18" style="85" bestFit="1" customWidth="1"/>
    <col min="12539" max="12758" width="11.5703125" style="85"/>
    <col min="12759" max="12759" width="33.7109375" style="85" customWidth="1"/>
    <col min="12760" max="12760" width="14.85546875" style="85" customWidth="1"/>
    <col min="12761" max="12761" width="12.85546875" style="85" customWidth="1"/>
    <col min="12762" max="12762" width="16.28515625" style="85" customWidth="1"/>
    <col min="12763" max="12763" width="17.140625" style="85" bestFit="1" customWidth="1"/>
    <col min="12764" max="12764" width="17.140625" style="85" customWidth="1"/>
    <col min="12765" max="12765" width="14.140625" style="85" customWidth="1"/>
    <col min="12766" max="12766" width="56.7109375" style="85" customWidth="1"/>
    <col min="12767" max="12767" width="16" style="85" customWidth="1"/>
    <col min="12768" max="12768" width="17.140625" style="85" bestFit="1" customWidth="1"/>
    <col min="12769" max="12776" width="0" style="85" hidden="1" customWidth="1"/>
    <col min="12777" max="12777" width="18.85546875" style="85" bestFit="1" customWidth="1"/>
    <col min="12778" max="12778" width="17.140625" style="85" customWidth="1"/>
    <col min="12779" max="12779" width="10.28515625" style="85" customWidth="1"/>
    <col min="12780" max="12780" width="16" style="85" bestFit="1" customWidth="1"/>
    <col min="12781" max="12781" width="19.42578125" style="85" customWidth="1"/>
    <col min="12782" max="12782" width="18.7109375" style="85" customWidth="1"/>
    <col min="12783" max="12783" width="10.28515625" style="85" customWidth="1"/>
    <col min="12784" max="12784" width="16" style="85" bestFit="1" customWidth="1"/>
    <col min="12785" max="12785" width="18.42578125" style="85" customWidth="1"/>
    <col min="12786" max="12786" width="13.28515625" style="85" customWidth="1"/>
    <col min="12787" max="12787" width="16.28515625" style="85" customWidth="1"/>
    <col min="12788" max="12788" width="19.28515625" style="85" bestFit="1" customWidth="1"/>
    <col min="12789" max="12789" width="19.42578125" style="85" bestFit="1" customWidth="1"/>
    <col min="12790" max="12793" width="16" style="85" bestFit="1" customWidth="1"/>
    <col min="12794" max="12794" width="18" style="85" bestFit="1" customWidth="1"/>
    <col min="12795" max="13014" width="11.5703125" style="85"/>
    <col min="13015" max="13015" width="33.7109375" style="85" customWidth="1"/>
    <col min="13016" max="13016" width="14.85546875" style="85" customWidth="1"/>
    <col min="13017" max="13017" width="12.85546875" style="85" customWidth="1"/>
    <col min="13018" max="13018" width="16.28515625" style="85" customWidth="1"/>
    <col min="13019" max="13019" width="17.140625" style="85" bestFit="1" customWidth="1"/>
    <col min="13020" max="13020" width="17.140625" style="85" customWidth="1"/>
    <col min="13021" max="13021" width="14.140625" style="85" customWidth="1"/>
    <col min="13022" max="13022" width="56.7109375" style="85" customWidth="1"/>
    <col min="13023" max="13023" width="16" style="85" customWidth="1"/>
    <col min="13024" max="13024" width="17.140625" style="85" bestFit="1" customWidth="1"/>
    <col min="13025" max="13032" width="0" style="85" hidden="1" customWidth="1"/>
    <col min="13033" max="13033" width="18.85546875" style="85" bestFit="1" customWidth="1"/>
    <col min="13034" max="13034" width="17.140625" style="85" customWidth="1"/>
    <col min="13035" max="13035" width="10.28515625" style="85" customWidth="1"/>
    <col min="13036" max="13036" width="16" style="85" bestFit="1" customWidth="1"/>
    <col min="13037" max="13037" width="19.42578125" style="85" customWidth="1"/>
    <col min="13038" max="13038" width="18.7109375" style="85" customWidth="1"/>
    <col min="13039" max="13039" width="10.28515625" style="85" customWidth="1"/>
    <col min="13040" max="13040" width="16" style="85" bestFit="1" customWidth="1"/>
    <col min="13041" max="13041" width="18.42578125" style="85" customWidth="1"/>
    <col min="13042" max="13042" width="13.28515625" style="85" customWidth="1"/>
    <col min="13043" max="13043" width="16.28515625" style="85" customWidth="1"/>
    <col min="13044" max="13044" width="19.28515625" style="85" bestFit="1" customWidth="1"/>
    <col min="13045" max="13045" width="19.42578125" style="85" bestFit="1" customWidth="1"/>
    <col min="13046" max="13049" width="16" style="85" bestFit="1" customWidth="1"/>
    <col min="13050" max="13050" width="18" style="85" bestFit="1" customWidth="1"/>
    <col min="13051" max="13270" width="11.5703125" style="85"/>
    <col min="13271" max="13271" width="33.7109375" style="85" customWidth="1"/>
    <col min="13272" max="13272" width="14.85546875" style="85" customWidth="1"/>
    <col min="13273" max="13273" width="12.85546875" style="85" customWidth="1"/>
    <col min="13274" max="13274" width="16.28515625" style="85" customWidth="1"/>
    <col min="13275" max="13275" width="17.140625" style="85" bestFit="1" customWidth="1"/>
    <col min="13276" max="13276" width="17.140625" style="85" customWidth="1"/>
    <col min="13277" max="13277" width="14.140625" style="85" customWidth="1"/>
    <col min="13278" max="13278" width="56.7109375" style="85" customWidth="1"/>
    <col min="13279" max="13279" width="16" style="85" customWidth="1"/>
    <col min="13280" max="13280" width="17.140625" style="85" bestFit="1" customWidth="1"/>
    <col min="13281" max="13288" width="0" style="85" hidden="1" customWidth="1"/>
    <col min="13289" max="13289" width="18.85546875" style="85" bestFit="1" customWidth="1"/>
    <col min="13290" max="13290" width="17.140625" style="85" customWidth="1"/>
    <col min="13291" max="13291" width="10.28515625" style="85" customWidth="1"/>
    <col min="13292" max="13292" width="16" style="85" bestFit="1" customWidth="1"/>
    <col min="13293" max="13293" width="19.42578125" style="85" customWidth="1"/>
    <col min="13294" max="13294" width="18.7109375" style="85" customWidth="1"/>
    <col min="13295" max="13295" width="10.28515625" style="85" customWidth="1"/>
    <col min="13296" max="13296" width="16" style="85" bestFit="1" customWidth="1"/>
    <col min="13297" max="13297" width="18.42578125" style="85" customWidth="1"/>
    <col min="13298" max="13298" width="13.28515625" style="85" customWidth="1"/>
    <col min="13299" max="13299" width="16.28515625" style="85" customWidth="1"/>
    <col min="13300" max="13300" width="19.28515625" style="85" bestFit="1" customWidth="1"/>
    <col min="13301" max="13301" width="19.42578125" style="85" bestFit="1" customWidth="1"/>
    <col min="13302" max="13305" width="16" style="85" bestFit="1" customWidth="1"/>
    <col min="13306" max="13306" width="18" style="85" bestFit="1" customWidth="1"/>
    <col min="13307" max="13526" width="11.5703125" style="85"/>
    <col min="13527" max="13527" width="33.7109375" style="85" customWidth="1"/>
    <col min="13528" max="13528" width="14.85546875" style="85" customWidth="1"/>
    <col min="13529" max="13529" width="12.85546875" style="85" customWidth="1"/>
    <col min="13530" max="13530" width="16.28515625" style="85" customWidth="1"/>
    <col min="13531" max="13531" width="17.140625" style="85" bestFit="1" customWidth="1"/>
    <col min="13532" max="13532" width="17.140625" style="85" customWidth="1"/>
    <col min="13533" max="13533" width="14.140625" style="85" customWidth="1"/>
    <col min="13534" max="13534" width="56.7109375" style="85" customWidth="1"/>
    <col min="13535" max="13535" width="16" style="85" customWidth="1"/>
    <col min="13536" max="13536" width="17.140625" style="85" bestFit="1" customWidth="1"/>
    <col min="13537" max="13544" width="0" style="85" hidden="1" customWidth="1"/>
    <col min="13545" max="13545" width="18.85546875" style="85" bestFit="1" customWidth="1"/>
    <col min="13546" max="13546" width="17.140625" style="85" customWidth="1"/>
    <col min="13547" max="13547" width="10.28515625" style="85" customWidth="1"/>
    <col min="13548" max="13548" width="16" style="85" bestFit="1" customWidth="1"/>
    <col min="13549" max="13549" width="19.42578125" style="85" customWidth="1"/>
    <col min="13550" max="13550" width="18.7109375" style="85" customWidth="1"/>
    <col min="13551" max="13551" width="10.28515625" style="85" customWidth="1"/>
    <col min="13552" max="13552" width="16" style="85" bestFit="1" customWidth="1"/>
    <col min="13553" max="13553" width="18.42578125" style="85" customWidth="1"/>
    <col min="13554" max="13554" width="13.28515625" style="85" customWidth="1"/>
    <col min="13555" max="13555" width="16.28515625" style="85" customWidth="1"/>
    <col min="13556" max="13556" width="19.28515625" style="85" bestFit="1" customWidth="1"/>
    <col min="13557" max="13557" width="19.42578125" style="85" bestFit="1" customWidth="1"/>
    <col min="13558" max="13561" width="16" style="85" bestFit="1" customWidth="1"/>
    <col min="13562" max="13562" width="18" style="85" bestFit="1" customWidth="1"/>
    <col min="13563" max="13782" width="11.5703125" style="85"/>
    <col min="13783" max="13783" width="33.7109375" style="85" customWidth="1"/>
    <col min="13784" max="13784" width="14.85546875" style="85" customWidth="1"/>
    <col min="13785" max="13785" width="12.85546875" style="85" customWidth="1"/>
    <col min="13786" max="13786" width="16.28515625" style="85" customWidth="1"/>
    <col min="13787" max="13787" width="17.140625" style="85" bestFit="1" customWidth="1"/>
    <col min="13788" max="13788" width="17.140625" style="85" customWidth="1"/>
    <col min="13789" max="13789" width="14.140625" style="85" customWidth="1"/>
    <col min="13790" max="13790" width="56.7109375" style="85" customWidth="1"/>
    <col min="13791" max="13791" width="16" style="85" customWidth="1"/>
    <col min="13792" max="13792" width="17.140625" style="85" bestFit="1" customWidth="1"/>
    <col min="13793" max="13800" width="0" style="85" hidden="1" customWidth="1"/>
    <col min="13801" max="13801" width="18.85546875" style="85" bestFit="1" customWidth="1"/>
    <col min="13802" max="13802" width="17.140625" style="85" customWidth="1"/>
    <col min="13803" max="13803" width="10.28515625" style="85" customWidth="1"/>
    <col min="13804" max="13804" width="16" style="85" bestFit="1" customWidth="1"/>
    <col min="13805" max="13805" width="19.42578125" style="85" customWidth="1"/>
    <col min="13806" max="13806" width="18.7109375" style="85" customWidth="1"/>
    <col min="13807" max="13807" width="10.28515625" style="85" customWidth="1"/>
    <col min="13808" max="13808" width="16" style="85" bestFit="1" customWidth="1"/>
    <col min="13809" max="13809" width="18.42578125" style="85" customWidth="1"/>
    <col min="13810" max="13810" width="13.28515625" style="85" customWidth="1"/>
    <col min="13811" max="13811" width="16.28515625" style="85" customWidth="1"/>
    <col min="13812" max="13812" width="19.28515625" style="85" bestFit="1" customWidth="1"/>
    <col min="13813" max="13813" width="19.42578125" style="85" bestFit="1" customWidth="1"/>
    <col min="13814" max="13817" width="16" style="85" bestFit="1" customWidth="1"/>
    <col min="13818" max="13818" width="18" style="85" bestFit="1" customWidth="1"/>
    <col min="13819" max="14038" width="11.5703125" style="85"/>
    <col min="14039" max="14039" width="33.7109375" style="85" customWidth="1"/>
    <col min="14040" max="14040" width="14.85546875" style="85" customWidth="1"/>
    <col min="14041" max="14041" width="12.85546875" style="85" customWidth="1"/>
    <col min="14042" max="14042" width="16.28515625" style="85" customWidth="1"/>
    <col min="14043" max="14043" width="17.140625" style="85" bestFit="1" customWidth="1"/>
    <col min="14044" max="14044" width="17.140625" style="85" customWidth="1"/>
    <col min="14045" max="14045" width="14.140625" style="85" customWidth="1"/>
    <col min="14046" max="14046" width="56.7109375" style="85" customWidth="1"/>
    <col min="14047" max="14047" width="16" style="85" customWidth="1"/>
    <col min="14048" max="14048" width="17.140625" style="85" bestFit="1" customWidth="1"/>
    <col min="14049" max="14056" width="0" style="85" hidden="1" customWidth="1"/>
    <col min="14057" max="14057" width="18.85546875" style="85" bestFit="1" customWidth="1"/>
    <col min="14058" max="14058" width="17.140625" style="85" customWidth="1"/>
    <col min="14059" max="14059" width="10.28515625" style="85" customWidth="1"/>
    <col min="14060" max="14060" width="16" style="85" bestFit="1" customWidth="1"/>
    <col min="14061" max="14061" width="19.42578125" style="85" customWidth="1"/>
    <col min="14062" max="14062" width="18.7109375" style="85" customWidth="1"/>
    <col min="14063" max="14063" width="10.28515625" style="85" customWidth="1"/>
    <col min="14064" max="14064" width="16" style="85" bestFit="1" customWidth="1"/>
    <col min="14065" max="14065" width="18.42578125" style="85" customWidth="1"/>
    <col min="14066" max="14066" width="13.28515625" style="85" customWidth="1"/>
    <col min="14067" max="14067" width="16.28515625" style="85" customWidth="1"/>
    <col min="14068" max="14068" width="19.28515625" style="85" bestFit="1" customWidth="1"/>
    <col min="14069" max="14069" width="19.42578125" style="85" bestFit="1" customWidth="1"/>
    <col min="14070" max="14073" width="16" style="85" bestFit="1" customWidth="1"/>
    <col min="14074" max="14074" width="18" style="85" bestFit="1" customWidth="1"/>
    <col min="14075" max="14294" width="11.5703125" style="85"/>
    <col min="14295" max="14295" width="33.7109375" style="85" customWidth="1"/>
    <col min="14296" max="14296" width="14.85546875" style="85" customWidth="1"/>
    <col min="14297" max="14297" width="12.85546875" style="85" customWidth="1"/>
    <col min="14298" max="14298" width="16.28515625" style="85" customWidth="1"/>
    <col min="14299" max="14299" width="17.140625" style="85" bestFit="1" customWidth="1"/>
    <col min="14300" max="14300" width="17.140625" style="85" customWidth="1"/>
    <col min="14301" max="14301" width="14.140625" style="85" customWidth="1"/>
    <col min="14302" max="14302" width="56.7109375" style="85" customWidth="1"/>
    <col min="14303" max="14303" width="16" style="85" customWidth="1"/>
    <col min="14304" max="14304" width="17.140625" style="85" bestFit="1" customWidth="1"/>
    <col min="14305" max="14312" width="0" style="85" hidden="1" customWidth="1"/>
    <col min="14313" max="14313" width="18.85546875" style="85" bestFit="1" customWidth="1"/>
    <col min="14314" max="14314" width="17.140625" style="85" customWidth="1"/>
    <col min="14315" max="14315" width="10.28515625" style="85" customWidth="1"/>
    <col min="14316" max="14316" width="16" style="85" bestFit="1" customWidth="1"/>
    <col min="14317" max="14317" width="19.42578125" style="85" customWidth="1"/>
    <col min="14318" max="14318" width="18.7109375" style="85" customWidth="1"/>
    <col min="14319" max="14319" width="10.28515625" style="85" customWidth="1"/>
    <col min="14320" max="14320" width="16" style="85" bestFit="1" customWidth="1"/>
    <col min="14321" max="14321" width="18.42578125" style="85" customWidth="1"/>
    <col min="14322" max="14322" width="13.28515625" style="85" customWidth="1"/>
    <col min="14323" max="14323" width="16.28515625" style="85" customWidth="1"/>
    <col min="14324" max="14324" width="19.28515625" style="85" bestFit="1" customWidth="1"/>
    <col min="14325" max="14325" width="19.42578125" style="85" bestFit="1" customWidth="1"/>
    <col min="14326" max="14329" width="16" style="85" bestFit="1" customWidth="1"/>
    <col min="14330" max="14330" width="18" style="85" bestFit="1" customWidth="1"/>
    <col min="14331" max="14550" width="11.5703125" style="85"/>
    <col min="14551" max="14551" width="33.7109375" style="85" customWidth="1"/>
    <col min="14552" max="14552" width="14.85546875" style="85" customWidth="1"/>
    <col min="14553" max="14553" width="12.85546875" style="85" customWidth="1"/>
    <col min="14554" max="14554" width="16.28515625" style="85" customWidth="1"/>
    <col min="14555" max="14555" width="17.140625" style="85" bestFit="1" customWidth="1"/>
    <col min="14556" max="14556" width="17.140625" style="85" customWidth="1"/>
    <col min="14557" max="14557" width="14.140625" style="85" customWidth="1"/>
    <col min="14558" max="14558" width="56.7109375" style="85" customWidth="1"/>
    <col min="14559" max="14559" width="16" style="85" customWidth="1"/>
    <col min="14560" max="14560" width="17.140625" style="85" bestFit="1" customWidth="1"/>
    <col min="14561" max="14568" width="0" style="85" hidden="1" customWidth="1"/>
    <col min="14569" max="14569" width="18.85546875" style="85" bestFit="1" customWidth="1"/>
    <col min="14570" max="14570" width="17.140625" style="85" customWidth="1"/>
    <col min="14571" max="14571" width="10.28515625" style="85" customWidth="1"/>
    <col min="14572" max="14572" width="16" style="85" bestFit="1" customWidth="1"/>
    <col min="14573" max="14573" width="19.42578125" style="85" customWidth="1"/>
    <col min="14574" max="14574" width="18.7109375" style="85" customWidth="1"/>
    <col min="14575" max="14575" width="10.28515625" style="85" customWidth="1"/>
    <col min="14576" max="14576" width="16" style="85" bestFit="1" customWidth="1"/>
    <col min="14577" max="14577" width="18.42578125" style="85" customWidth="1"/>
    <col min="14578" max="14578" width="13.28515625" style="85" customWidth="1"/>
    <col min="14579" max="14579" width="16.28515625" style="85" customWidth="1"/>
    <col min="14580" max="14580" width="19.28515625" style="85" bestFit="1" customWidth="1"/>
    <col min="14581" max="14581" width="19.42578125" style="85" bestFit="1" customWidth="1"/>
    <col min="14582" max="14585" width="16" style="85" bestFit="1" customWidth="1"/>
    <col min="14586" max="14586" width="18" style="85" bestFit="1" customWidth="1"/>
    <col min="14587" max="14806" width="11.5703125" style="85"/>
    <col min="14807" max="14807" width="33.7109375" style="85" customWidth="1"/>
    <col min="14808" max="14808" width="14.85546875" style="85" customWidth="1"/>
    <col min="14809" max="14809" width="12.85546875" style="85" customWidth="1"/>
    <col min="14810" max="14810" width="16.28515625" style="85" customWidth="1"/>
    <col min="14811" max="14811" width="17.140625" style="85" bestFit="1" customWidth="1"/>
    <col min="14812" max="14812" width="17.140625" style="85" customWidth="1"/>
    <col min="14813" max="14813" width="14.140625" style="85" customWidth="1"/>
    <col min="14814" max="14814" width="56.7109375" style="85" customWidth="1"/>
    <col min="14815" max="14815" width="16" style="85" customWidth="1"/>
    <col min="14816" max="14816" width="17.140625" style="85" bestFit="1" customWidth="1"/>
    <col min="14817" max="14824" width="0" style="85" hidden="1" customWidth="1"/>
    <col min="14825" max="14825" width="18.85546875" style="85" bestFit="1" customWidth="1"/>
    <col min="14826" max="14826" width="17.140625" style="85" customWidth="1"/>
    <col min="14827" max="14827" width="10.28515625" style="85" customWidth="1"/>
    <col min="14828" max="14828" width="16" style="85" bestFit="1" customWidth="1"/>
    <col min="14829" max="14829" width="19.42578125" style="85" customWidth="1"/>
    <col min="14830" max="14830" width="18.7109375" style="85" customWidth="1"/>
    <col min="14831" max="14831" width="10.28515625" style="85" customWidth="1"/>
    <col min="14832" max="14832" width="16" style="85" bestFit="1" customWidth="1"/>
    <col min="14833" max="14833" width="18.42578125" style="85" customWidth="1"/>
    <col min="14834" max="14834" width="13.28515625" style="85" customWidth="1"/>
    <col min="14835" max="14835" width="16.28515625" style="85" customWidth="1"/>
    <col min="14836" max="14836" width="19.28515625" style="85" bestFit="1" customWidth="1"/>
    <col min="14837" max="14837" width="19.42578125" style="85" bestFit="1" customWidth="1"/>
    <col min="14838" max="14841" width="16" style="85" bestFit="1" customWidth="1"/>
    <col min="14842" max="14842" width="18" style="85" bestFit="1" customWidth="1"/>
    <col min="14843" max="15062" width="11.5703125" style="85"/>
    <col min="15063" max="15063" width="33.7109375" style="85" customWidth="1"/>
    <col min="15064" max="15064" width="14.85546875" style="85" customWidth="1"/>
    <col min="15065" max="15065" width="12.85546875" style="85" customWidth="1"/>
    <col min="15066" max="15066" width="16.28515625" style="85" customWidth="1"/>
    <col min="15067" max="15067" width="17.140625" style="85" bestFit="1" customWidth="1"/>
    <col min="15068" max="15068" width="17.140625" style="85" customWidth="1"/>
    <col min="15069" max="15069" width="14.140625" style="85" customWidth="1"/>
    <col min="15070" max="15070" width="56.7109375" style="85" customWidth="1"/>
    <col min="15071" max="15071" width="16" style="85" customWidth="1"/>
    <col min="15072" max="15072" width="17.140625" style="85" bestFit="1" customWidth="1"/>
    <col min="15073" max="15080" width="0" style="85" hidden="1" customWidth="1"/>
    <col min="15081" max="15081" width="18.85546875" style="85" bestFit="1" customWidth="1"/>
    <col min="15082" max="15082" width="17.140625" style="85" customWidth="1"/>
    <col min="15083" max="15083" width="10.28515625" style="85" customWidth="1"/>
    <col min="15084" max="15084" width="16" style="85" bestFit="1" customWidth="1"/>
    <col min="15085" max="15085" width="19.42578125" style="85" customWidth="1"/>
    <col min="15086" max="15086" width="18.7109375" style="85" customWidth="1"/>
    <col min="15087" max="15087" width="10.28515625" style="85" customWidth="1"/>
    <col min="15088" max="15088" width="16" style="85" bestFit="1" customWidth="1"/>
    <col min="15089" max="15089" width="18.42578125" style="85" customWidth="1"/>
    <col min="15090" max="15090" width="13.28515625" style="85" customWidth="1"/>
    <col min="15091" max="15091" width="16.28515625" style="85" customWidth="1"/>
    <col min="15092" max="15092" width="19.28515625" style="85" bestFit="1" customWidth="1"/>
    <col min="15093" max="15093" width="19.42578125" style="85" bestFit="1" customWidth="1"/>
    <col min="15094" max="15097" width="16" style="85" bestFit="1" customWidth="1"/>
    <col min="15098" max="15098" width="18" style="85" bestFit="1" customWidth="1"/>
    <col min="15099" max="15318" width="11.5703125" style="85"/>
    <col min="15319" max="15319" width="33.7109375" style="85" customWidth="1"/>
    <col min="15320" max="15320" width="14.85546875" style="85" customWidth="1"/>
    <col min="15321" max="15321" width="12.85546875" style="85" customWidth="1"/>
    <col min="15322" max="15322" width="16.28515625" style="85" customWidth="1"/>
    <col min="15323" max="15323" width="17.140625" style="85" bestFit="1" customWidth="1"/>
    <col min="15324" max="15324" width="17.140625" style="85" customWidth="1"/>
    <col min="15325" max="15325" width="14.140625" style="85" customWidth="1"/>
    <col min="15326" max="15326" width="56.7109375" style="85" customWidth="1"/>
    <col min="15327" max="15327" width="16" style="85" customWidth="1"/>
    <col min="15328" max="15328" width="17.140625" style="85" bestFit="1" customWidth="1"/>
    <col min="15329" max="15336" width="0" style="85" hidden="1" customWidth="1"/>
    <col min="15337" max="15337" width="18.85546875" style="85" bestFit="1" customWidth="1"/>
    <col min="15338" max="15338" width="17.140625" style="85" customWidth="1"/>
    <col min="15339" max="15339" width="10.28515625" style="85" customWidth="1"/>
    <col min="15340" max="15340" width="16" style="85" bestFit="1" customWidth="1"/>
    <col min="15341" max="15341" width="19.42578125" style="85" customWidth="1"/>
    <col min="15342" max="15342" width="18.7109375" style="85" customWidth="1"/>
    <col min="15343" max="15343" width="10.28515625" style="85" customWidth="1"/>
    <col min="15344" max="15344" width="16" style="85" bestFit="1" customWidth="1"/>
    <col min="15345" max="15345" width="18.42578125" style="85" customWidth="1"/>
    <col min="15346" max="15346" width="13.28515625" style="85" customWidth="1"/>
    <col min="15347" max="15347" width="16.28515625" style="85" customWidth="1"/>
    <col min="15348" max="15348" width="19.28515625" style="85" bestFit="1" customWidth="1"/>
    <col min="15349" max="15349" width="19.42578125" style="85" bestFit="1" customWidth="1"/>
    <col min="15350" max="15353" width="16" style="85" bestFit="1" customWidth="1"/>
    <col min="15354" max="15354" width="18" style="85" bestFit="1" customWidth="1"/>
    <col min="15355" max="15574" width="11.5703125" style="85"/>
    <col min="15575" max="15575" width="33.7109375" style="85" customWidth="1"/>
    <col min="15576" max="15576" width="14.85546875" style="85" customWidth="1"/>
    <col min="15577" max="15577" width="12.85546875" style="85" customWidth="1"/>
    <col min="15578" max="15578" width="16.28515625" style="85" customWidth="1"/>
    <col min="15579" max="15579" width="17.140625" style="85" bestFit="1" customWidth="1"/>
    <col min="15580" max="15580" width="17.140625" style="85" customWidth="1"/>
    <col min="15581" max="15581" width="14.140625" style="85" customWidth="1"/>
    <col min="15582" max="15582" width="56.7109375" style="85" customWidth="1"/>
    <col min="15583" max="15583" width="16" style="85" customWidth="1"/>
    <col min="15584" max="15584" width="17.140625" style="85" bestFit="1" customWidth="1"/>
    <col min="15585" max="15592" width="0" style="85" hidden="1" customWidth="1"/>
    <col min="15593" max="15593" width="18.85546875" style="85" bestFit="1" customWidth="1"/>
    <col min="15594" max="15594" width="17.140625" style="85" customWidth="1"/>
    <col min="15595" max="15595" width="10.28515625" style="85" customWidth="1"/>
    <col min="15596" max="15596" width="16" style="85" bestFit="1" customWidth="1"/>
    <col min="15597" max="15597" width="19.42578125" style="85" customWidth="1"/>
    <col min="15598" max="15598" width="18.7109375" style="85" customWidth="1"/>
    <col min="15599" max="15599" width="10.28515625" style="85" customWidth="1"/>
    <col min="15600" max="15600" width="16" style="85" bestFit="1" customWidth="1"/>
    <col min="15601" max="15601" width="18.42578125" style="85" customWidth="1"/>
    <col min="15602" max="15602" width="13.28515625" style="85" customWidth="1"/>
    <col min="15603" max="15603" width="16.28515625" style="85" customWidth="1"/>
    <col min="15604" max="15604" width="19.28515625" style="85" bestFit="1" customWidth="1"/>
    <col min="15605" max="15605" width="19.42578125" style="85" bestFit="1" customWidth="1"/>
    <col min="15606" max="15609" width="16" style="85" bestFit="1" customWidth="1"/>
    <col min="15610" max="15610" width="18" style="85" bestFit="1" customWidth="1"/>
    <col min="15611" max="15830" width="11.5703125" style="85"/>
    <col min="15831" max="15831" width="33.7109375" style="85" customWidth="1"/>
    <col min="15832" max="15832" width="14.85546875" style="85" customWidth="1"/>
    <col min="15833" max="15833" width="12.85546875" style="85" customWidth="1"/>
    <col min="15834" max="15834" width="16.28515625" style="85" customWidth="1"/>
    <col min="15835" max="15835" width="17.140625" style="85" bestFit="1" customWidth="1"/>
    <col min="15836" max="15836" width="17.140625" style="85" customWidth="1"/>
    <col min="15837" max="15837" width="14.140625" style="85" customWidth="1"/>
    <col min="15838" max="15838" width="56.7109375" style="85" customWidth="1"/>
    <col min="15839" max="15839" width="16" style="85" customWidth="1"/>
    <col min="15840" max="15840" width="17.140625" style="85" bestFit="1" customWidth="1"/>
    <col min="15841" max="15848" width="0" style="85" hidden="1" customWidth="1"/>
    <col min="15849" max="15849" width="18.85546875" style="85" bestFit="1" customWidth="1"/>
    <col min="15850" max="15850" width="17.140625" style="85" customWidth="1"/>
    <col min="15851" max="15851" width="10.28515625" style="85" customWidth="1"/>
    <col min="15852" max="15852" width="16" style="85" bestFit="1" customWidth="1"/>
    <col min="15853" max="15853" width="19.42578125" style="85" customWidth="1"/>
    <col min="15854" max="15854" width="18.7109375" style="85" customWidth="1"/>
    <col min="15855" max="15855" width="10.28515625" style="85" customWidth="1"/>
    <col min="15856" max="15856" width="16" style="85" bestFit="1" customWidth="1"/>
    <col min="15857" max="15857" width="18.42578125" style="85" customWidth="1"/>
    <col min="15858" max="15858" width="13.28515625" style="85" customWidth="1"/>
    <col min="15859" max="15859" width="16.28515625" style="85" customWidth="1"/>
    <col min="15860" max="15860" width="19.28515625" style="85" bestFit="1" customWidth="1"/>
    <col min="15861" max="15861" width="19.42578125" style="85" bestFit="1" customWidth="1"/>
    <col min="15862" max="15865" width="16" style="85" bestFit="1" customWidth="1"/>
    <col min="15866" max="15866" width="18" style="85" bestFit="1" customWidth="1"/>
    <col min="15867" max="16086" width="11.5703125" style="85"/>
    <col min="16087" max="16087" width="33.7109375" style="85" customWidth="1"/>
    <col min="16088" max="16088" width="14.85546875" style="85" customWidth="1"/>
    <col min="16089" max="16089" width="12.85546875" style="85" customWidth="1"/>
    <col min="16090" max="16090" width="16.28515625" style="85" customWidth="1"/>
    <col min="16091" max="16091" width="17.140625" style="85" bestFit="1" customWidth="1"/>
    <col min="16092" max="16092" width="17.140625" style="85" customWidth="1"/>
    <col min="16093" max="16093" width="14.140625" style="85" customWidth="1"/>
    <col min="16094" max="16094" width="56.7109375" style="85" customWidth="1"/>
    <col min="16095" max="16095" width="16" style="85" customWidth="1"/>
    <col min="16096" max="16096" width="17.140625" style="85" bestFit="1" customWidth="1"/>
    <col min="16097" max="16104" width="0" style="85" hidden="1" customWidth="1"/>
    <col min="16105" max="16105" width="18.85546875" style="85" bestFit="1" customWidth="1"/>
    <col min="16106" max="16106" width="17.140625" style="85" customWidth="1"/>
    <col min="16107" max="16107" width="10.28515625" style="85" customWidth="1"/>
    <col min="16108" max="16108" width="16" style="85" bestFit="1" customWidth="1"/>
    <col min="16109" max="16109" width="19.42578125" style="85" customWidth="1"/>
    <col min="16110" max="16110" width="18.7109375" style="85" customWidth="1"/>
    <col min="16111" max="16111" width="10.28515625" style="85" customWidth="1"/>
    <col min="16112" max="16112" width="16" style="85" bestFit="1" customWidth="1"/>
    <col min="16113" max="16113" width="18.42578125" style="85" customWidth="1"/>
    <col min="16114" max="16114" width="13.28515625" style="85" customWidth="1"/>
    <col min="16115" max="16115" width="16.28515625" style="85" customWidth="1"/>
    <col min="16116" max="16116" width="19.28515625" style="85" bestFit="1" customWidth="1"/>
    <col min="16117" max="16117" width="19.42578125" style="85" bestFit="1" customWidth="1"/>
    <col min="16118" max="16121" width="16" style="85" bestFit="1" customWidth="1"/>
    <col min="16122" max="16122" width="18" style="85" bestFit="1" customWidth="1"/>
    <col min="16123" max="16384" width="11.5703125" style="85"/>
  </cols>
  <sheetData>
    <row r="1" spans="1:8" ht="20.25" x14ac:dyDescent="0.2">
      <c r="A1" s="1572" t="s">
        <v>55</v>
      </c>
      <c r="B1" s="1572"/>
      <c r="C1" s="1572"/>
      <c r="D1" s="1572"/>
      <c r="E1" s="1572"/>
      <c r="F1" s="1572"/>
      <c r="G1" s="1572"/>
      <c r="H1" s="1572"/>
    </row>
    <row r="2" spans="1:8" ht="20.25" x14ac:dyDescent="0.2">
      <c r="A2" s="1572" t="s">
        <v>247</v>
      </c>
      <c r="B2" s="1572"/>
      <c r="C2" s="1572"/>
      <c r="D2" s="1572"/>
      <c r="E2" s="1572"/>
      <c r="F2" s="1572"/>
      <c r="G2" s="1572"/>
      <c r="H2" s="1572"/>
    </row>
    <row r="4" spans="1:8" ht="34.5" customHeight="1" x14ac:dyDescent="0.2">
      <c r="A4" s="109" t="s">
        <v>132</v>
      </c>
      <c r="B4" s="313" t="s">
        <v>183</v>
      </c>
      <c r="C4" s="109" t="s">
        <v>133</v>
      </c>
      <c r="D4" s="108" t="s">
        <v>188</v>
      </c>
      <c r="E4" s="314" t="s">
        <v>206</v>
      </c>
      <c r="F4" s="314" t="s">
        <v>181</v>
      </c>
      <c r="G4" s="315" t="s">
        <v>180</v>
      </c>
      <c r="H4" s="315" t="s">
        <v>185</v>
      </c>
    </row>
    <row r="5" spans="1:8" s="208" customFormat="1" ht="18.75" customHeight="1" x14ac:dyDescent="0.25">
      <c r="A5" s="109"/>
      <c r="B5" s="313"/>
      <c r="C5" s="109"/>
      <c r="D5" s="108"/>
      <c r="E5" s="314"/>
      <c r="F5" s="314"/>
      <c r="G5" s="315"/>
      <c r="H5" s="315"/>
    </row>
    <row r="6" spans="1:8" ht="15.75" x14ac:dyDescent="0.2">
      <c r="A6" s="316" t="s">
        <v>49</v>
      </c>
      <c r="B6" s="317">
        <f>+B7</f>
        <v>0</v>
      </c>
      <c r="C6" s="316"/>
      <c r="D6" s="316"/>
      <c r="E6" s="138">
        <f>+SUM(E8:E8)</f>
        <v>0</v>
      </c>
      <c r="F6" s="138">
        <f>+F7</f>
        <v>0</v>
      </c>
      <c r="G6" s="421" t="e">
        <f>(E6-F6)/F6</f>
        <v>#DIV/0!</v>
      </c>
      <c r="H6" s="318"/>
    </row>
    <row r="7" spans="1:8" ht="15.75" x14ac:dyDescent="0.2">
      <c r="A7" s="319" t="s">
        <v>238</v>
      </c>
      <c r="B7" s="320">
        <f>+B8</f>
        <v>0</v>
      </c>
      <c r="C7" s="321"/>
      <c r="D7" s="321"/>
      <c r="E7" s="322">
        <f>+E8</f>
        <v>0</v>
      </c>
      <c r="F7" s="322">
        <f>+F8</f>
        <v>0</v>
      </c>
      <c r="G7" s="422" t="e">
        <f>(E7-F7)/F7</f>
        <v>#DIV/0!</v>
      </c>
      <c r="H7" s="323"/>
    </row>
    <row r="8" spans="1:8" ht="75" x14ac:dyDescent="0.2">
      <c r="A8" s="324" t="s">
        <v>244</v>
      </c>
      <c r="B8" s="325">
        <f>+E8/C8</f>
        <v>0</v>
      </c>
      <c r="C8" s="326">
        <v>4</v>
      </c>
      <c r="D8" s="326" t="s">
        <v>242</v>
      </c>
      <c r="E8" s="327">
        <v>0</v>
      </c>
      <c r="F8" s="327">
        <v>0</v>
      </c>
      <c r="G8" s="423" t="e">
        <f>(E8-F8)/F8</f>
        <v>#DIV/0!</v>
      </c>
      <c r="H8" s="328" t="s">
        <v>246</v>
      </c>
    </row>
    <row r="9" spans="1:8" ht="15.75" x14ac:dyDescent="0.2">
      <c r="A9" s="316" t="s">
        <v>51</v>
      </c>
      <c r="B9" s="329">
        <f>+B10+B12</f>
        <v>4300000</v>
      </c>
      <c r="C9" s="109"/>
      <c r="D9" s="109"/>
      <c r="E9" s="330">
        <f>+E10+E12+E14</f>
        <v>0</v>
      </c>
      <c r="F9" s="330">
        <f>+F10+F12</f>
        <v>0</v>
      </c>
      <c r="G9" s="424" t="e">
        <f>(E9-F9)/F9</f>
        <v>#DIV/0!</v>
      </c>
      <c r="H9" s="318"/>
    </row>
    <row r="10" spans="1:8" ht="15.75" x14ac:dyDescent="0.2">
      <c r="A10" s="335" t="s">
        <v>239</v>
      </c>
      <c r="B10" s="336">
        <f>SUM(B11:B11)</f>
        <v>300000</v>
      </c>
      <c r="C10" s="337"/>
      <c r="D10" s="337"/>
      <c r="E10" s="331">
        <f>SUM(E11:E11)</f>
        <v>0</v>
      </c>
      <c r="F10" s="331">
        <f>SUM(F11:F11)</f>
        <v>0</v>
      </c>
      <c r="G10" s="425" t="e">
        <f t="shared" ref="G10:G16" si="0">(E10-F10)/F10</f>
        <v>#DIV/0!</v>
      </c>
      <c r="H10" s="332"/>
    </row>
    <row r="11" spans="1:8" ht="30" customHeight="1" x14ac:dyDescent="0.2">
      <c r="A11" s="324" t="s">
        <v>240</v>
      </c>
      <c r="B11" s="325">
        <v>300000</v>
      </c>
      <c r="C11" s="326">
        <v>40</v>
      </c>
      <c r="D11" s="333" t="s">
        <v>147</v>
      </c>
      <c r="E11" s="334">
        <v>0</v>
      </c>
      <c r="F11" s="334">
        <v>0</v>
      </c>
      <c r="G11" s="426" t="e">
        <f>(E11-F11)/F11</f>
        <v>#DIV/0!</v>
      </c>
      <c r="H11" s="328" t="s">
        <v>248</v>
      </c>
    </row>
    <row r="12" spans="1:8" ht="15.75" x14ac:dyDescent="0.2">
      <c r="A12" s="335" t="s">
        <v>137</v>
      </c>
      <c r="B12" s="336">
        <f>+B13</f>
        <v>4000000</v>
      </c>
      <c r="C12" s="337"/>
      <c r="D12" s="337"/>
      <c r="E12" s="331">
        <f>SUM(E13:E13)</f>
        <v>0</v>
      </c>
      <c r="F12" s="331">
        <f>+F13</f>
        <v>0</v>
      </c>
      <c r="G12" s="425" t="e">
        <f t="shared" si="0"/>
        <v>#DIV/0!</v>
      </c>
      <c r="H12" s="332"/>
    </row>
    <row r="13" spans="1:8" ht="60" x14ac:dyDescent="0.2">
      <c r="A13" s="324" t="s">
        <v>241</v>
      </c>
      <c r="B13" s="325">
        <v>4000000</v>
      </c>
      <c r="C13" s="338">
        <v>4</v>
      </c>
      <c r="D13" s="326" t="s">
        <v>245</v>
      </c>
      <c r="E13" s="334">
        <v>0</v>
      </c>
      <c r="F13" s="334">
        <v>0</v>
      </c>
      <c r="G13" s="426" t="e">
        <f>(E13-F13)/F13</f>
        <v>#DIV/0!</v>
      </c>
      <c r="H13" s="328" t="s">
        <v>243</v>
      </c>
    </row>
    <row r="14" spans="1:8" ht="15.75" x14ac:dyDescent="0.2">
      <c r="A14" s="335" t="s">
        <v>228</v>
      </c>
      <c r="B14" s="336">
        <f>+B15</f>
        <v>1000000</v>
      </c>
      <c r="C14" s="337"/>
      <c r="D14" s="337"/>
      <c r="E14" s="331">
        <f>SUM(E15:E15)</f>
        <v>0</v>
      </c>
      <c r="F14" s="331">
        <f>+F15</f>
        <v>0</v>
      </c>
      <c r="G14" s="425">
        <v>1</v>
      </c>
      <c r="H14" s="332"/>
    </row>
    <row r="15" spans="1:8" ht="60.75" thickBot="1" x14ac:dyDescent="0.25">
      <c r="A15" s="410" t="s">
        <v>187</v>
      </c>
      <c r="B15" s="411">
        <v>1000000</v>
      </c>
      <c r="C15" s="412">
        <v>5</v>
      </c>
      <c r="D15" s="413" t="s">
        <v>258</v>
      </c>
      <c r="E15" s="414">
        <v>0</v>
      </c>
      <c r="F15" s="414">
        <v>0</v>
      </c>
      <c r="G15" s="427">
        <v>1</v>
      </c>
      <c r="H15" s="415" t="s">
        <v>259</v>
      </c>
    </row>
    <row r="16" spans="1:8" ht="16.5" thickBot="1" x14ac:dyDescent="0.25">
      <c r="A16" s="416" t="s">
        <v>170</v>
      </c>
      <c r="B16" s="417"/>
      <c r="C16" s="418"/>
      <c r="D16" s="418"/>
      <c r="E16" s="419">
        <f>+E6+E9</f>
        <v>0</v>
      </c>
      <c r="F16" s="419">
        <f>+F6+F9</f>
        <v>0</v>
      </c>
      <c r="G16" s="428" t="e">
        <f t="shared" si="0"/>
        <v>#DIV/0!</v>
      </c>
      <c r="H16" s="420"/>
    </row>
    <row r="17" spans="5:6" x14ac:dyDescent="0.2">
      <c r="F17" s="339"/>
    </row>
    <row r="18" spans="5:6" x14ac:dyDescent="0.2">
      <c r="F18" s="339"/>
    </row>
    <row r="19" spans="5:6" x14ac:dyDescent="0.2">
      <c r="E19" s="339"/>
    </row>
    <row r="23" spans="5:6" x14ac:dyDescent="0.2">
      <c r="E23" s="339"/>
    </row>
    <row r="25" spans="5:6" x14ac:dyDescent="0.2">
      <c r="E25" s="339"/>
    </row>
    <row r="26" spans="5:6" x14ac:dyDescent="0.2">
      <c r="E26" s="339"/>
    </row>
    <row r="27" spans="5:6" x14ac:dyDescent="0.2">
      <c r="E27" s="339"/>
    </row>
    <row r="28" spans="5:6" x14ac:dyDescent="0.2">
      <c r="E28" s="339"/>
    </row>
    <row r="29" spans="5:6" x14ac:dyDescent="0.2">
      <c r="E29" s="339"/>
    </row>
    <row r="30" spans="5:6" x14ac:dyDescent="0.2">
      <c r="E30" s="339"/>
    </row>
    <row r="31" spans="5:6" x14ac:dyDescent="0.2">
      <c r="E31" s="339"/>
    </row>
  </sheetData>
  <autoFilter ref="A4:H16" xr:uid="{00000000-0009-0000-0000-000015000000}"/>
  <mergeCells count="2">
    <mergeCell ref="A1:H1"/>
    <mergeCell ref="A2:H2"/>
  </mergeCells>
  <printOptions horizontalCentered="1"/>
  <pageMargins left="0.39370078740157483" right="0.39370078740157483" top="0.78740157480314965" bottom="0.39370078740157483" header="0.31496062992125984" footer="0.31496062992125984"/>
  <pageSetup scale="70" orientation="landscape" horizont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2:R17"/>
  <sheetViews>
    <sheetView workbookViewId="0"/>
  </sheetViews>
  <sheetFormatPr baseColWidth="10" defaultRowHeight="15" x14ac:dyDescent="0.25"/>
  <cols>
    <col min="3" max="3" width="18.28515625" bestFit="1" customWidth="1"/>
    <col min="4" max="4" width="22.85546875" customWidth="1"/>
    <col min="5" max="10" width="18.28515625" bestFit="1" customWidth="1"/>
    <col min="11" max="11" width="18.28515625" customWidth="1"/>
    <col min="12" max="12" width="15.140625" bestFit="1" customWidth="1"/>
    <col min="13" max="13" width="13.5703125" bestFit="1" customWidth="1"/>
  </cols>
  <sheetData>
    <row r="2" spans="3:18" x14ac:dyDescent="0.25">
      <c r="C2" s="1555" t="s">
        <v>30</v>
      </c>
      <c r="D2" s="1555"/>
      <c r="E2" s="1555"/>
      <c r="F2" s="1555"/>
      <c r="G2" s="1555"/>
      <c r="H2" s="1555"/>
      <c r="I2" s="1555"/>
      <c r="J2" s="1555"/>
      <c r="K2" s="1555"/>
      <c r="L2" s="1555"/>
      <c r="M2" s="5"/>
      <c r="N2" s="5"/>
      <c r="O2" s="5"/>
      <c r="P2" s="5"/>
      <c r="Q2" s="5"/>
      <c r="R2" s="5"/>
    </row>
    <row r="3" spans="3:18" x14ac:dyDescent="0.25">
      <c r="C3" s="1555" t="s">
        <v>31</v>
      </c>
      <c r="D3" s="1555"/>
      <c r="E3" s="1555"/>
      <c r="F3" s="1555"/>
      <c r="G3" s="1555"/>
      <c r="H3" s="1555"/>
      <c r="I3" s="1555"/>
      <c r="J3" s="1555"/>
      <c r="K3" s="1555"/>
      <c r="L3" s="1555"/>
      <c r="M3" s="1555"/>
      <c r="N3" s="1555"/>
      <c r="O3" s="1555"/>
      <c r="P3" s="1555"/>
      <c r="Q3" s="1555"/>
      <c r="R3" s="1555"/>
    </row>
    <row r="4" spans="3:18" x14ac:dyDescent="0.25">
      <c r="C4" s="1555" t="s">
        <v>123</v>
      </c>
      <c r="D4" s="1555"/>
      <c r="E4" s="1555"/>
      <c r="F4" s="1555"/>
      <c r="G4" s="1555"/>
      <c r="H4" s="1555"/>
      <c r="I4" s="1555"/>
      <c r="J4" s="1555"/>
      <c r="K4" s="1555"/>
      <c r="L4" s="1555"/>
      <c r="M4" s="59"/>
      <c r="N4" s="59"/>
      <c r="O4" s="59"/>
      <c r="P4" s="59"/>
      <c r="Q4" s="59"/>
      <c r="R4" s="59"/>
    </row>
    <row r="5" spans="3:18" ht="15.75" thickBot="1" x14ac:dyDescent="0.3">
      <c r="C5" s="1555"/>
      <c r="D5" s="1555"/>
      <c r="E5" s="1555"/>
      <c r="F5" s="1555"/>
      <c r="G5" s="1555"/>
      <c r="H5" s="1555"/>
      <c r="I5" s="1555"/>
      <c r="J5" s="1555"/>
      <c r="K5" s="1555"/>
      <c r="L5" s="1555"/>
      <c r="M5" s="1555"/>
      <c r="N5" s="1555"/>
      <c r="O5" s="1555"/>
      <c r="P5" s="1555"/>
      <c r="Q5" s="1555"/>
      <c r="R5" s="1555"/>
    </row>
    <row r="6" spans="3:18" ht="15.75" thickBot="1" x14ac:dyDescent="0.3">
      <c r="C6" s="65" t="s">
        <v>115</v>
      </c>
      <c r="D6" s="66" t="s">
        <v>116</v>
      </c>
      <c r="E6" s="66" t="s">
        <v>117</v>
      </c>
      <c r="F6" s="66" t="s">
        <v>118</v>
      </c>
      <c r="G6" s="66" t="s">
        <v>119</v>
      </c>
      <c r="H6" s="66" t="s">
        <v>120</v>
      </c>
      <c r="I6" s="66" t="s">
        <v>121</v>
      </c>
      <c r="J6" s="66" t="s">
        <v>122</v>
      </c>
      <c r="K6" s="80" t="s">
        <v>131</v>
      </c>
      <c r="L6" s="67" t="s">
        <v>33</v>
      </c>
    </row>
    <row r="7" spans="3:18" ht="15.75" thickBot="1" x14ac:dyDescent="0.3">
      <c r="C7" s="62">
        <v>330226687.38999999</v>
      </c>
      <c r="D7" s="63">
        <v>309249945.22000003</v>
      </c>
      <c r="E7" s="63">
        <v>374707285.06999999</v>
      </c>
      <c r="F7" s="63">
        <v>343782072.11000001</v>
      </c>
      <c r="G7" s="63">
        <v>358296202.40000004</v>
      </c>
      <c r="H7" s="63">
        <v>403445959.24000001</v>
      </c>
      <c r="I7" s="63">
        <v>365653160.73000002</v>
      </c>
      <c r="J7" s="63">
        <v>391307833.87</v>
      </c>
      <c r="K7" s="81">
        <v>358296202.40000004</v>
      </c>
      <c r="L7" s="64">
        <f>SUM(C7:K7)</f>
        <v>3234965348.4299998</v>
      </c>
    </row>
    <row r="8" spans="3:18" ht="15.75" thickBot="1" x14ac:dyDescent="0.3"/>
    <row r="9" spans="3:18" ht="27" customHeight="1" thickBot="1" x14ac:dyDescent="0.3">
      <c r="C9" s="76" t="s">
        <v>41</v>
      </c>
      <c r="D9" s="77" t="s">
        <v>129</v>
      </c>
      <c r="E9" s="78" t="s">
        <v>130</v>
      </c>
      <c r="F9" s="74"/>
      <c r="M9" s="74"/>
    </row>
    <row r="10" spans="3:18" x14ac:dyDescent="0.25">
      <c r="C10" s="72" t="s">
        <v>124</v>
      </c>
      <c r="D10" s="73">
        <f>SUM(C7:E7)</f>
        <v>1014183917.6800001</v>
      </c>
      <c r="E10" s="79">
        <f>+D10/$D$15</f>
        <v>0.25354597942000001</v>
      </c>
      <c r="F10" s="74"/>
      <c r="M10" s="82"/>
    </row>
    <row r="11" spans="3:18" x14ac:dyDescent="0.25">
      <c r="C11" s="68" t="s">
        <v>125</v>
      </c>
      <c r="D11" s="61">
        <f>SUM(F7:H7)</f>
        <v>1105524233.75</v>
      </c>
      <c r="E11" s="79">
        <f>+D11/$D$15</f>
        <v>0.27638105843749999</v>
      </c>
      <c r="F11" s="74"/>
    </row>
    <row r="12" spans="3:18" x14ac:dyDescent="0.25">
      <c r="C12" s="68" t="s">
        <v>126</v>
      </c>
      <c r="D12" s="61">
        <f>SUM(I7:K7)</f>
        <v>1115257197</v>
      </c>
      <c r="E12" s="79">
        <f>+D12/$D$15</f>
        <v>0.27881429925000001</v>
      </c>
      <c r="F12" s="74"/>
    </row>
    <row r="13" spans="3:18" ht="15.75" thickBot="1" x14ac:dyDescent="0.3">
      <c r="C13" s="69" t="s">
        <v>127</v>
      </c>
      <c r="D13" s="70">
        <v>0</v>
      </c>
      <c r="E13" s="71"/>
      <c r="F13" s="75"/>
    </row>
    <row r="15" spans="3:18" x14ac:dyDescent="0.25">
      <c r="C15" t="s">
        <v>128</v>
      </c>
      <c r="D15" s="8">
        <v>4000000000</v>
      </c>
    </row>
    <row r="17" spans="4:5" x14ac:dyDescent="0.25">
      <c r="D17" s="60">
        <f>+D15-L7</f>
        <v>765034651.57000017</v>
      </c>
      <c r="E17" s="83">
        <f>+D17/D15</f>
        <v>0.19125866289250004</v>
      </c>
    </row>
  </sheetData>
  <mergeCells count="6">
    <mergeCell ref="C2:L2"/>
    <mergeCell ref="C3:L3"/>
    <mergeCell ref="M3:R3"/>
    <mergeCell ref="C5:L5"/>
    <mergeCell ref="M5:R5"/>
    <mergeCell ref="C4:L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7"/>
  <sheetViews>
    <sheetView zoomScale="90" zoomScaleNormal="90" workbookViewId="0">
      <selection activeCell="F13" sqref="F13:H15"/>
    </sheetView>
  </sheetViews>
  <sheetFormatPr baseColWidth="10" defaultRowHeight="12.75" x14ac:dyDescent="0.2"/>
  <cols>
    <col min="1" max="1" width="11.5703125" style="10"/>
    <col min="2" max="2" width="41.140625" style="10" customWidth="1"/>
    <col min="3" max="4" width="18.28515625" style="10" customWidth="1"/>
    <col min="5" max="5" width="16.85546875" style="173" customWidth="1"/>
    <col min="6" max="6" width="13.7109375" style="10" bestFit="1" customWidth="1"/>
    <col min="7" max="7" width="13.85546875" style="10" bestFit="1" customWidth="1"/>
    <col min="8" max="8" width="13.7109375" style="10" customWidth="1"/>
    <col min="9" max="9" width="12.42578125" style="10" bestFit="1" customWidth="1"/>
    <col min="10" max="257" width="11.42578125" style="10"/>
    <col min="258" max="258" width="36.140625" style="10" customWidth="1"/>
    <col min="259" max="259" width="17.5703125" style="10" customWidth="1"/>
    <col min="260" max="260" width="16" style="10" customWidth="1"/>
    <col min="261" max="261" width="17" style="10" customWidth="1"/>
    <col min="262" max="513" width="11.42578125" style="10"/>
    <col min="514" max="514" width="36.140625" style="10" customWidth="1"/>
    <col min="515" max="515" width="17.5703125" style="10" customWidth="1"/>
    <col min="516" max="516" width="16" style="10" customWidth="1"/>
    <col min="517" max="517" width="17" style="10" customWidth="1"/>
    <col min="518" max="769" width="11.42578125" style="10"/>
    <col min="770" max="770" width="36.140625" style="10" customWidth="1"/>
    <col min="771" max="771" width="17.5703125" style="10" customWidth="1"/>
    <col min="772" max="772" width="16" style="10" customWidth="1"/>
    <col min="773" max="773" width="17" style="10" customWidth="1"/>
    <col min="774" max="1025" width="11.42578125" style="10"/>
    <col min="1026" max="1026" width="36.140625" style="10" customWidth="1"/>
    <col min="1027" max="1027" width="17.5703125" style="10" customWidth="1"/>
    <col min="1028" max="1028" width="16" style="10" customWidth="1"/>
    <col min="1029" max="1029" width="17" style="10" customWidth="1"/>
    <col min="1030" max="1281" width="11.42578125" style="10"/>
    <col min="1282" max="1282" width="36.140625" style="10" customWidth="1"/>
    <col min="1283" max="1283" width="17.5703125" style="10" customWidth="1"/>
    <col min="1284" max="1284" width="16" style="10" customWidth="1"/>
    <col min="1285" max="1285" width="17" style="10" customWidth="1"/>
    <col min="1286" max="1537" width="11.42578125" style="10"/>
    <col min="1538" max="1538" width="36.140625" style="10" customWidth="1"/>
    <col min="1539" max="1539" width="17.5703125" style="10" customWidth="1"/>
    <col min="1540" max="1540" width="16" style="10" customWidth="1"/>
    <col min="1541" max="1541" width="17" style="10" customWidth="1"/>
    <col min="1542" max="1793" width="11.42578125" style="10"/>
    <col min="1794" max="1794" width="36.140625" style="10" customWidth="1"/>
    <col min="1795" max="1795" width="17.5703125" style="10" customWidth="1"/>
    <col min="1796" max="1796" width="16" style="10" customWidth="1"/>
    <col min="1797" max="1797" width="17" style="10" customWidth="1"/>
    <col min="1798" max="2049" width="11.42578125" style="10"/>
    <col min="2050" max="2050" width="36.140625" style="10" customWidth="1"/>
    <col min="2051" max="2051" width="17.5703125" style="10" customWidth="1"/>
    <col min="2052" max="2052" width="16" style="10" customWidth="1"/>
    <col min="2053" max="2053" width="17" style="10" customWidth="1"/>
    <col min="2054" max="2305" width="11.42578125" style="10"/>
    <col min="2306" max="2306" width="36.140625" style="10" customWidth="1"/>
    <col min="2307" max="2307" width="17.5703125" style="10" customWidth="1"/>
    <col min="2308" max="2308" width="16" style="10" customWidth="1"/>
    <col min="2309" max="2309" width="17" style="10" customWidth="1"/>
    <col min="2310" max="2561" width="11.42578125" style="10"/>
    <col min="2562" max="2562" width="36.140625" style="10" customWidth="1"/>
    <col min="2563" max="2563" width="17.5703125" style="10" customWidth="1"/>
    <col min="2564" max="2564" width="16" style="10" customWidth="1"/>
    <col min="2565" max="2565" width="17" style="10" customWidth="1"/>
    <col min="2566" max="2817" width="11.42578125" style="10"/>
    <col min="2818" max="2818" width="36.140625" style="10" customWidth="1"/>
    <col min="2819" max="2819" width="17.5703125" style="10" customWidth="1"/>
    <col min="2820" max="2820" width="16" style="10" customWidth="1"/>
    <col min="2821" max="2821" width="17" style="10" customWidth="1"/>
    <col min="2822" max="3073" width="11.42578125" style="10"/>
    <col min="3074" max="3074" width="36.140625" style="10" customWidth="1"/>
    <col min="3075" max="3075" width="17.5703125" style="10" customWidth="1"/>
    <col min="3076" max="3076" width="16" style="10" customWidth="1"/>
    <col min="3077" max="3077" width="17" style="10" customWidth="1"/>
    <col min="3078" max="3329" width="11.42578125" style="10"/>
    <col min="3330" max="3330" width="36.140625" style="10" customWidth="1"/>
    <col min="3331" max="3331" width="17.5703125" style="10" customWidth="1"/>
    <col min="3332" max="3332" width="16" style="10" customWidth="1"/>
    <col min="3333" max="3333" width="17" style="10" customWidth="1"/>
    <col min="3334" max="3585" width="11.42578125" style="10"/>
    <col min="3586" max="3586" width="36.140625" style="10" customWidth="1"/>
    <col min="3587" max="3587" width="17.5703125" style="10" customWidth="1"/>
    <col min="3588" max="3588" width="16" style="10" customWidth="1"/>
    <col min="3589" max="3589" width="17" style="10" customWidth="1"/>
    <col min="3590" max="3841" width="11.42578125" style="10"/>
    <col min="3842" max="3842" width="36.140625" style="10" customWidth="1"/>
    <col min="3843" max="3843" width="17.5703125" style="10" customWidth="1"/>
    <col min="3844" max="3844" width="16" style="10" customWidth="1"/>
    <col min="3845" max="3845" width="17" style="10" customWidth="1"/>
    <col min="3846" max="4097" width="11.42578125" style="10"/>
    <col min="4098" max="4098" width="36.140625" style="10" customWidth="1"/>
    <col min="4099" max="4099" width="17.5703125" style="10" customWidth="1"/>
    <col min="4100" max="4100" width="16" style="10" customWidth="1"/>
    <col min="4101" max="4101" width="17" style="10" customWidth="1"/>
    <col min="4102" max="4353" width="11.42578125" style="10"/>
    <col min="4354" max="4354" width="36.140625" style="10" customWidth="1"/>
    <col min="4355" max="4355" width="17.5703125" style="10" customWidth="1"/>
    <col min="4356" max="4356" width="16" style="10" customWidth="1"/>
    <col min="4357" max="4357" width="17" style="10" customWidth="1"/>
    <col min="4358" max="4609" width="11.42578125" style="10"/>
    <col min="4610" max="4610" width="36.140625" style="10" customWidth="1"/>
    <col min="4611" max="4611" width="17.5703125" style="10" customWidth="1"/>
    <col min="4612" max="4612" width="16" style="10" customWidth="1"/>
    <col min="4613" max="4613" width="17" style="10" customWidth="1"/>
    <col min="4614" max="4865" width="11.42578125" style="10"/>
    <col min="4866" max="4866" width="36.140625" style="10" customWidth="1"/>
    <col min="4867" max="4867" width="17.5703125" style="10" customWidth="1"/>
    <col min="4868" max="4868" width="16" style="10" customWidth="1"/>
    <col min="4869" max="4869" width="17" style="10" customWidth="1"/>
    <col min="4870" max="5121" width="11.42578125" style="10"/>
    <col min="5122" max="5122" width="36.140625" style="10" customWidth="1"/>
    <col min="5123" max="5123" width="17.5703125" style="10" customWidth="1"/>
    <col min="5124" max="5124" width="16" style="10" customWidth="1"/>
    <col min="5125" max="5125" width="17" style="10" customWidth="1"/>
    <col min="5126" max="5377" width="11.42578125" style="10"/>
    <col min="5378" max="5378" width="36.140625" style="10" customWidth="1"/>
    <col min="5379" max="5379" width="17.5703125" style="10" customWidth="1"/>
    <col min="5380" max="5380" width="16" style="10" customWidth="1"/>
    <col min="5381" max="5381" width="17" style="10" customWidth="1"/>
    <col min="5382" max="5633" width="11.42578125" style="10"/>
    <col min="5634" max="5634" width="36.140625" style="10" customWidth="1"/>
    <col min="5635" max="5635" width="17.5703125" style="10" customWidth="1"/>
    <col min="5636" max="5636" width="16" style="10" customWidth="1"/>
    <col min="5637" max="5637" width="17" style="10" customWidth="1"/>
    <col min="5638" max="5889" width="11.42578125" style="10"/>
    <col min="5890" max="5890" width="36.140625" style="10" customWidth="1"/>
    <col min="5891" max="5891" width="17.5703125" style="10" customWidth="1"/>
    <col min="5892" max="5892" width="16" style="10" customWidth="1"/>
    <col min="5893" max="5893" width="17" style="10" customWidth="1"/>
    <col min="5894" max="6145" width="11.42578125" style="10"/>
    <col min="6146" max="6146" width="36.140625" style="10" customWidth="1"/>
    <col min="6147" max="6147" width="17.5703125" style="10" customWidth="1"/>
    <col min="6148" max="6148" width="16" style="10" customWidth="1"/>
    <col min="6149" max="6149" width="17" style="10" customWidth="1"/>
    <col min="6150" max="6401" width="11.42578125" style="10"/>
    <col min="6402" max="6402" width="36.140625" style="10" customWidth="1"/>
    <col min="6403" max="6403" width="17.5703125" style="10" customWidth="1"/>
    <col min="6404" max="6404" width="16" style="10" customWidth="1"/>
    <col min="6405" max="6405" width="17" style="10" customWidth="1"/>
    <col min="6406" max="6657" width="11.42578125" style="10"/>
    <col min="6658" max="6658" width="36.140625" style="10" customWidth="1"/>
    <col min="6659" max="6659" width="17.5703125" style="10" customWidth="1"/>
    <col min="6660" max="6660" width="16" style="10" customWidth="1"/>
    <col min="6661" max="6661" width="17" style="10" customWidth="1"/>
    <col min="6662" max="6913" width="11.42578125" style="10"/>
    <col min="6914" max="6914" width="36.140625" style="10" customWidth="1"/>
    <col min="6915" max="6915" width="17.5703125" style="10" customWidth="1"/>
    <col min="6916" max="6916" width="16" style="10" customWidth="1"/>
    <col min="6917" max="6917" width="17" style="10" customWidth="1"/>
    <col min="6918" max="7169" width="11.42578125" style="10"/>
    <col min="7170" max="7170" width="36.140625" style="10" customWidth="1"/>
    <col min="7171" max="7171" width="17.5703125" style="10" customWidth="1"/>
    <col min="7172" max="7172" width="16" style="10" customWidth="1"/>
    <col min="7173" max="7173" width="17" style="10" customWidth="1"/>
    <col min="7174" max="7425" width="11.42578125" style="10"/>
    <col min="7426" max="7426" width="36.140625" style="10" customWidth="1"/>
    <col min="7427" max="7427" width="17.5703125" style="10" customWidth="1"/>
    <col min="7428" max="7428" width="16" style="10" customWidth="1"/>
    <col min="7429" max="7429" width="17" style="10" customWidth="1"/>
    <col min="7430" max="7681" width="11.42578125" style="10"/>
    <col min="7682" max="7682" width="36.140625" style="10" customWidth="1"/>
    <col min="7683" max="7683" width="17.5703125" style="10" customWidth="1"/>
    <col min="7684" max="7684" width="16" style="10" customWidth="1"/>
    <col min="7685" max="7685" width="17" style="10" customWidth="1"/>
    <col min="7686" max="7937" width="11.42578125" style="10"/>
    <col min="7938" max="7938" width="36.140625" style="10" customWidth="1"/>
    <col min="7939" max="7939" width="17.5703125" style="10" customWidth="1"/>
    <col min="7940" max="7940" width="16" style="10" customWidth="1"/>
    <col min="7941" max="7941" width="17" style="10" customWidth="1"/>
    <col min="7942" max="8193" width="11.42578125" style="10"/>
    <col min="8194" max="8194" width="36.140625" style="10" customWidth="1"/>
    <col min="8195" max="8195" width="17.5703125" style="10" customWidth="1"/>
    <col min="8196" max="8196" width="16" style="10" customWidth="1"/>
    <col min="8197" max="8197" width="17" style="10" customWidth="1"/>
    <col min="8198" max="8449" width="11.42578125" style="10"/>
    <col min="8450" max="8450" width="36.140625" style="10" customWidth="1"/>
    <col min="8451" max="8451" width="17.5703125" style="10" customWidth="1"/>
    <col min="8452" max="8452" width="16" style="10" customWidth="1"/>
    <col min="8453" max="8453" width="17" style="10" customWidth="1"/>
    <col min="8454" max="8705" width="11.42578125" style="10"/>
    <col min="8706" max="8706" width="36.140625" style="10" customWidth="1"/>
    <col min="8707" max="8707" width="17.5703125" style="10" customWidth="1"/>
    <col min="8708" max="8708" width="16" style="10" customWidth="1"/>
    <col min="8709" max="8709" width="17" style="10" customWidth="1"/>
    <col min="8710" max="8961" width="11.42578125" style="10"/>
    <col min="8962" max="8962" width="36.140625" style="10" customWidth="1"/>
    <col min="8963" max="8963" width="17.5703125" style="10" customWidth="1"/>
    <col min="8964" max="8964" width="16" style="10" customWidth="1"/>
    <col min="8965" max="8965" width="17" style="10" customWidth="1"/>
    <col min="8966" max="9217" width="11.42578125" style="10"/>
    <col min="9218" max="9218" width="36.140625" style="10" customWidth="1"/>
    <col min="9219" max="9219" width="17.5703125" style="10" customWidth="1"/>
    <col min="9220" max="9220" width="16" style="10" customWidth="1"/>
    <col min="9221" max="9221" width="17" style="10" customWidth="1"/>
    <col min="9222" max="9473" width="11.42578125" style="10"/>
    <col min="9474" max="9474" width="36.140625" style="10" customWidth="1"/>
    <col min="9475" max="9475" width="17.5703125" style="10" customWidth="1"/>
    <col min="9476" max="9476" width="16" style="10" customWidth="1"/>
    <col min="9477" max="9477" width="17" style="10" customWidth="1"/>
    <col min="9478" max="9729" width="11.42578125" style="10"/>
    <col min="9730" max="9730" width="36.140625" style="10" customWidth="1"/>
    <col min="9731" max="9731" width="17.5703125" style="10" customWidth="1"/>
    <col min="9732" max="9732" width="16" style="10" customWidth="1"/>
    <col min="9733" max="9733" width="17" style="10" customWidth="1"/>
    <col min="9734" max="9985" width="11.42578125" style="10"/>
    <col min="9986" max="9986" width="36.140625" style="10" customWidth="1"/>
    <col min="9987" max="9987" width="17.5703125" style="10" customWidth="1"/>
    <col min="9988" max="9988" width="16" style="10" customWidth="1"/>
    <col min="9989" max="9989" width="17" style="10" customWidth="1"/>
    <col min="9990" max="10241" width="11.42578125" style="10"/>
    <col min="10242" max="10242" width="36.140625" style="10" customWidth="1"/>
    <col min="10243" max="10243" width="17.5703125" style="10" customWidth="1"/>
    <col min="10244" max="10244" width="16" style="10" customWidth="1"/>
    <col min="10245" max="10245" width="17" style="10" customWidth="1"/>
    <col min="10246" max="10497" width="11.42578125" style="10"/>
    <col min="10498" max="10498" width="36.140625" style="10" customWidth="1"/>
    <col min="10499" max="10499" width="17.5703125" style="10" customWidth="1"/>
    <col min="10500" max="10500" width="16" style="10" customWidth="1"/>
    <col min="10501" max="10501" width="17" style="10" customWidth="1"/>
    <col min="10502" max="10753" width="11.42578125" style="10"/>
    <col min="10754" max="10754" width="36.140625" style="10" customWidth="1"/>
    <col min="10755" max="10755" width="17.5703125" style="10" customWidth="1"/>
    <col min="10756" max="10756" width="16" style="10" customWidth="1"/>
    <col min="10757" max="10757" width="17" style="10" customWidth="1"/>
    <col min="10758" max="11009" width="11.42578125" style="10"/>
    <col min="11010" max="11010" width="36.140625" style="10" customWidth="1"/>
    <col min="11011" max="11011" width="17.5703125" style="10" customWidth="1"/>
    <col min="11012" max="11012" width="16" style="10" customWidth="1"/>
    <col min="11013" max="11013" width="17" style="10" customWidth="1"/>
    <col min="11014" max="11265" width="11.42578125" style="10"/>
    <col min="11266" max="11266" width="36.140625" style="10" customWidth="1"/>
    <col min="11267" max="11267" width="17.5703125" style="10" customWidth="1"/>
    <col min="11268" max="11268" width="16" style="10" customWidth="1"/>
    <col min="11269" max="11269" width="17" style="10" customWidth="1"/>
    <col min="11270" max="11521" width="11.42578125" style="10"/>
    <col min="11522" max="11522" width="36.140625" style="10" customWidth="1"/>
    <col min="11523" max="11523" width="17.5703125" style="10" customWidth="1"/>
    <col min="11524" max="11524" width="16" style="10" customWidth="1"/>
    <col min="11525" max="11525" width="17" style="10" customWidth="1"/>
    <col min="11526" max="11777" width="11.42578125" style="10"/>
    <col min="11778" max="11778" width="36.140625" style="10" customWidth="1"/>
    <col min="11779" max="11779" width="17.5703125" style="10" customWidth="1"/>
    <col min="11780" max="11780" width="16" style="10" customWidth="1"/>
    <col min="11781" max="11781" width="17" style="10" customWidth="1"/>
    <col min="11782" max="12033" width="11.42578125" style="10"/>
    <col min="12034" max="12034" width="36.140625" style="10" customWidth="1"/>
    <col min="12035" max="12035" width="17.5703125" style="10" customWidth="1"/>
    <col min="12036" max="12036" width="16" style="10" customWidth="1"/>
    <col min="12037" max="12037" width="17" style="10" customWidth="1"/>
    <col min="12038" max="12289" width="11.42578125" style="10"/>
    <col min="12290" max="12290" width="36.140625" style="10" customWidth="1"/>
    <col min="12291" max="12291" width="17.5703125" style="10" customWidth="1"/>
    <col min="12292" max="12292" width="16" style="10" customWidth="1"/>
    <col min="12293" max="12293" width="17" style="10" customWidth="1"/>
    <col min="12294" max="12545" width="11.42578125" style="10"/>
    <col min="12546" max="12546" width="36.140625" style="10" customWidth="1"/>
    <col min="12547" max="12547" width="17.5703125" style="10" customWidth="1"/>
    <col min="12548" max="12548" width="16" style="10" customWidth="1"/>
    <col min="12549" max="12549" width="17" style="10" customWidth="1"/>
    <col min="12550" max="12801" width="11.42578125" style="10"/>
    <col min="12802" max="12802" width="36.140625" style="10" customWidth="1"/>
    <col min="12803" max="12803" width="17.5703125" style="10" customWidth="1"/>
    <col min="12804" max="12804" width="16" style="10" customWidth="1"/>
    <col min="12805" max="12805" width="17" style="10" customWidth="1"/>
    <col min="12806" max="13057" width="11.42578125" style="10"/>
    <col min="13058" max="13058" width="36.140625" style="10" customWidth="1"/>
    <col min="13059" max="13059" width="17.5703125" style="10" customWidth="1"/>
    <col min="13060" max="13060" width="16" style="10" customWidth="1"/>
    <col min="13061" max="13061" width="17" style="10" customWidth="1"/>
    <col min="13062" max="13313" width="11.42578125" style="10"/>
    <col min="13314" max="13314" width="36.140625" style="10" customWidth="1"/>
    <col min="13315" max="13315" width="17.5703125" style="10" customWidth="1"/>
    <col min="13316" max="13316" width="16" style="10" customWidth="1"/>
    <col min="13317" max="13317" width="17" style="10" customWidth="1"/>
    <col min="13318" max="13569" width="11.42578125" style="10"/>
    <col min="13570" max="13570" width="36.140625" style="10" customWidth="1"/>
    <col min="13571" max="13571" width="17.5703125" style="10" customWidth="1"/>
    <col min="13572" max="13572" width="16" style="10" customWidth="1"/>
    <col min="13573" max="13573" width="17" style="10" customWidth="1"/>
    <col min="13574" max="13825" width="11.42578125" style="10"/>
    <col min="13826" max="13826" width="36.140625" style="10" customWidth="1"/>
    <col min="13827" max="13827" width="17.5703125" style="10" customWidth="1"/>
    <col min="13828" max="13828" width="16" style="10" customWidth="1"/>
    <col min="13829" max="13829" width="17" style="10" customWidth="1"/>
    <col min="13830" max="14081" width="11.42578125" style="10"/>
    <col min="14082" max="14082" width="36.140625" style="10" customWidth="1"/>
    <col min="14083" max="14083" width="17.5703125" style="10" customWidth="1"/>
    <col min="14084" max="14084" width="16" style="10" customWidth="1"/>
    <col min="14085" max="14085" width="17" style="10" customWidth="1"/>
    <col min="14086" max="14337" width="11.42578125" style="10"/>
    <col min="14338" max="14338" width="36.140625" style="10" customWidth="1"/>
    <col min="14339" max="14339" width="17.5703125" style="10" customWidth="1"/>
    <col min="14340" max="14340" width="16" style="10" customWidth="1"/>
    <col min="14341" max="14341" width="17" style="10" customWidth="1"/>
    <col min="14342" max="14593" width="11.42578125" style="10"/>
    <col min="14594" max="14594" width="36.140625" style="10" customWidth="1"/>
    <col min="14595" max="14595" width="17.5703125" style="10" customWidth="1"/>
    <col min="14596" max="14596" width="16" style="10" customWidth="1"/>
    <col min="14597" max="14597" width="17" style="10" customWidth="1"/>
    <col min="14598" max="14849" width="11.42578125" style="10"/>
    <col min="14850" max="14850" width="36.140625" style="10" customWidth="1"/>
    <col min="14851" max="14851" width="17.5703125" style="10" customWidth="1"/>
    <col min="14852" max="14852" width="16" style="10" customWidth="1"/>
    <col min="14853" max="14853" width="17" style="10" customWidth="1"/>
    <col min="14854" max="15105" width="11.42578125" style="10"/>
    <col min="15106" max="15106" width="36.140625" style="10" customWidth="1"/>
    <col min="15107" max="15107" width="17.5703125" style="10" customWidth="1"/>
    <col min="15108" max="15108" width="16" style="10" customWidth="1"/>
    <col min="15109" max="15109" width="17" style="10" customWidth="1"/>
    <col min="15110" max="15361" width="11.42578125" style="10"/>
    <col min="15362" max="15362" width="36.140625" style="10" customWidth="1"/>
    <col min="15363" max="15363" width="17.5703125" style="10" customWidth="1"/>
    <col min="15364" max="15364" width="16" style="10" customWidth="1"/>
    <col min="15365" max="15365" width="17" style="10" customWidth="1"/>
    <col min="15366" max="15617" width="11.42578125" style="10"/>
    <col min="15618" max="15618" width="36.140625" style="10" customWidth="1"/>
    <col min="15619" max="15619" width="17.5703125" style="10" customWidth="1"/>
    <col min="15620" max="15620" width="16" style="10" customWidth="1"/>
    <col min="15621" max="15621" width="17" style="10" customWidth="1"/>
    <col min="15622" max="15873" width="11.42578125" style="10"/>
    <col min="15874" max="15874" width="36.140625" style="10" customWidth="1"/>
    <col min="15875" max="15875" width="17.5703125" style="10" customWidth="1"/>
    <col min="15876" max="15876" width="16" style="10" customWidth="1"/>
    <col min="15877" max="15877" width="17" style="10" customWidth="1"/>
    <col min="15878" max="16129" width="11.42578125" style="10"/>
    <col min="16130" max="16130" width="36.140625" style="10" customWidth="1"/>
    <col min="16131" max="16131" width="17.5703125" style="10" customWidth="1"/>
    <col min="16132" max="16132" width="16" style="10" customWidth="1"/>
    <col min="16133" max="16133" width="17" style="10" customWidth="1"/>
    <col min="16134" max="16384" width="11.42578125" style="10"/>
  </cols>
  <sheetData>
    <row r="2" spans="2:10" ht="18" x14ac:dyDescent="0.25">
      <c r="B2" s="1540" t="s">
        <v>98</v>
      </c>
      <c r="C2" s="1540"/>
      <c r="D2" s="1540"/>
      <c r="E2" s="1540"/>
    </row>
    <row r="3" spans="2:10" ht="18" x14ac:dyDescent="0.25">
      <c r="B3" s="1540" t="s">
        <v>573</v>
      </c>
      <c r="C3" s="1540"/>
      <c r="D3" s="1540"/>
      <c r="E3" s="1540"/>
    </row>
    <row r="4" spans="2:10" ht="18" x14ac:dyDescent="0.25">
      <c r="B4" s="1540" t="s">
        <v>269</v>
      </c>
      <c r="C4" s="1540"/>
      <c r="D4" s="1540"/>
      <c r="E4" s="1540"/>
    </row>
    <row r="5" spans="2:10" ht="18" x14ac:dyDescent="0.25">
      <c r="B5" s="1540" t="s">
        <v>55</v>
      </c>
      <c r="C5" s="1540"/>
      <c r="D5" s="1540"/>
      <c r="E5" s="1540"/>
    </row>
    <row r="6" spans="2:10" ht="18" x14ac:dyDescent="0.25">
      <c r="B6" s="1539" t="s">
        <v>99</v>
      </c>
      <c r="C6" s="1539"/>
      <c r="D6" s="1539"/>
      <c r="E6" s="1539"/>
    </row>
    <row r="7" spans="2:10" ht="13.5" thickBot="1" x14ac:dyDescent="0.25">
      <c r="B7" s="170"/>
      <c r="C7" s="170"/>
      <c r="D7" s="170"/>
      <c r="E7" s="171"/>
    </row>
    <row r="8" spans="2:10" ht="48" thickBot="1" x14ac:dyDescent="0.25">
      <c r="B8" s="588" t="s">
        <v>56</v>
      </c>
      <c r="C8" s="589" t="s">
        <v>270</v>
      </c>
      <c r="D8" s="590" t="s">
        <v>210</v>
      </c>
      <c r="E8" s="591" t="s">
        <v>209</v>
      </c>
    </row>
    <row r="9" spans="2:10" ht="15.75" x14ac:dyDescent="0.25">
      <c r="B9" s="592" t="s">
        <v>60</v>
      </c>
      <c r="C9" s="593">
        <f>SUM(C10:C13)</f>
        <v>6166134982.0883675</v>
      </c>
      <c r="D9" s="594">
        <f>SUM(D10:D13)</f>
        <v>6129369439</v>
      </c>
      <c r="E9" s="595">
        <f>(C9-D9)/D9</f>
        <v>5.9982586225648879E-3</v>
      </c>
      <c r="F9" s="11"/>
      <c r="G9" s="11"/>
      <c r="I9" s="11"/>
      <c r="J9" s="11"/>
    </row>
    <row r="10" spans="2:10" ht="15" x14ac:dyDescent="0.2">
      <c r="B10" s="596" t="s">
        <v>61</v>
      </c>
      <c r="C10" s="597">
        <f>+'INGRESOS RECAUDO 2019'!I9</f>
        <v>4643999999.5888014</v>
      </c>
      <c r="D10" s="598">
        <v>4150000000</v>
      </c>
      <c r="E10" s="599">
        <f>(C10-D10)/D10</f>
        <v>0.11903614447922925</v>
      </c>
      <c r="F10" s="11"/>
      <c r="G10" s="11"/>
      <c r="I10" s="11"/>
      <c r="J10" s="11"/>
    </row>
    <row r="11" spans="2:10" ht="15" x14ac:dyDescent="0.2">
      <c r="B11" s="596" t="s">
        <v>208</v>
      </c>
      <c r="C11" s="597">
        <f>+'INGRESOS Intereses Mora'!C23</f>
        <v>35000000</v>
      </c>
      <c r="D11" s="598">
        <v>43100000</v>
      </c>
      <c r="E11" s="599">
        <f t="shared" ref="E11:E15" si="0">(C11-D11)/D11</f>
        <v>-0.18793503480278423</v>
      </c>
      <c r="F11" s="11"/>
      <c r="G11" s="11"/>
      <c r="I11" s="11"/>
      <c r="J11" s="11"/>
    </row>
    <row r="12" spans="2:10" ht="15" x14ac:dyDescent="0.2">
      <c r="B12" s="596" t="s">
        <v>62</v>
      </c>
      <c r="C12" s="597">
        <f>+'INGRESOS Intereses Mora'!D18</f>
        <v>10000000.467228532</v>
      </c>
      <c r="D12" s="598">
        <v>28000000</v>
      </c>
      <c r="E12" s="599">
        <f t="shared" si="0"/>
        <v>-0.64285712617040958</v>
      </c>
      <c r="F12" s="11"/>
      <c r="G12" s="11"/>
      <c r="I12" s="11"/>
      <c r="J12" s="11"/>
    </row>
    <row r="13" spans="2:10" ht="15" x14ac:dyDescent="0.2">
      <c r="B13" s="596" t="s">
        <v>109</v>
      </c>
      <c r="C13" s="597">
        <f>+'APROP 2019'!F14</f>
        <v>1477134982.0323372</v>
      </c>
      <c r="D13" s="598">
        <v>1908269439</v>
      </c>
      <c r="E13" s="599">
        <f t="shared" si="0"/>
        <v>-0.22592955069992232</v>
      </c>
      <c r="F13" s="11"/>
      <c r="G13" s="11"/>
      <c r="I13" s="11"/>
      <c r="J13" s="11"/>
    </row>
    <row r="14" spans="2:10" ht="15.75" x14ac:dyDescent="0.25">
      <c r="B14" s="600" t="s">
        <v>63</v>
      </c>
      <c r="C14" s="601">
        <f>+C15+C16</f>
        <v>75395104.000249073</v>
      </c>
      <c r="D14" s="602">
        <f>+D15+D16</f>
        <v>75877092</v>
      </c>
      <c r="E14" s="603">
        <f t="shared" si="0"/>
        <v>-6.3522202425855632E-3</v>
      </c>
      <c r="F14" s="11"/>
      <c r="G14" s="11"/>
      <c r="I14" s="11"/>
      <c r="J14" s="11"/>
    </row>
    <row r="15" spans="2:10" ht="15" x14ac:dyDescent="0.2">
      <c r="B15" s="596" t="s">
        <v>64</v>
      </c>
      <c r="C15" s="597">
        <v>100000</v>
      </c>
      <c r="D15" s="598">
        <v>1030755</v>
      </c>
      <c r="E15" s="599">
        <f t="shared" si="0"/>
        <v>-0.90298373522321018</v>
      </c>
      <c r="F15" s="11"/>
      <c r="G15" s="11"/>
      <c r="I15" s="11"/>
      <c r="J15" s="11"/>
    </row>
    <row r="16" spans="2:10" ht="15.75" thickBot="1" x14ac:dyDescent="0.25">
      <c r="B16" s="596" t="s">
        <v>65</v>
      </c>
      <c r="C16" s="597">
        <f>+'INGRESOS intereses finan '!H41</f>
        <v>75295104.000249073</v>
      </c>
      <c r="D16" s="598">
        <v>74846337</v>
      </c>
      <c r="E16" s="599">
        <f>(C16-D16)/D16</f>
        <v>5.9958445294266425E-3</v>
      </c>
      <c r="F16" s="11"/>
      <c r="G16" s="11"/>
      <c r="I16" s="11"/>
      <c r="J16" s="11"/>
    </row>
    <row r="17" spans="2:8" s="169" customFormat="1" ht="16.5" thickBot="1" x14ac:dyDescent="0.3">
      <c r="B17" s="604" t="s">
        <v>66</v>
      </c>
      <c r="C17" s="605">
        <f>+C9+C14</f>
        <v>6241530086.0886164</v>
      </c>
      <c r="D17" s="605">
        <f t="shared" ref="D17" si="1">+D9+D14</f>
        <v>6205246531</v>
      </c>
      <c r="E17" s="606">
        <f>(C17-D17)/D17</f>
        <v>5.8472382857557691E-3</v>
      </c>
      <c r="F17" s="11"/>
      <c r="G17" s="11"/>
      <c r="H17" s="172"/>
    </row>
    <row r="18" spans="2:8" ht="15" x14ac:dyDescent="0.2">
      <c r="B18" s="607"/>
      <c r="C18" s="607"/>
      <c r="D18" s="609"/>
      <c r="E18" s="534"/>
    </row>
    <row r="19" spans="2:8" ht="15.75" x14ac:dyDescent="0.25">
      <c r="B19" s="608" t="s">
        <v>100</v>
      </c>
      <c r="C19" s="609"/>
      <c r="D19" s="609"/>
      <c r="E19" s="534"/>
    </row>
    <row r="20" spans="2:8" ht="15" x14ac:dyDescent="0.2">
      <c r="B20" s="607" t="s">
        <v>564</v>
      </c>
      <c r="C20" s="607"/>
      <c r="D20" s="607"/>
      <c r="E20" s="534"/>
    </row>
    <row r="21" spans="2:8" ht="15" x14ac:dyDescent="0.2">
      <c r="B21" s="607" t="s">
        <v>575</v>
      </c>
      <c r="C21" s="607"/>
      <c r="D21" s="609"/>
      <c r="E21" s="534"/>
    </row>
    <row r="24" spans="2:8" x14ac:dyDescent="0.2">
      <c r="C24" s="11"/>
    </row>
    <row r="27" spans="2:8" x14ac:dyDescent="0.2">
      <c r="B27" s="95"/>
    </row>
  </sheetData>
  <mergeCells count="5">
    <mergeCell ref="B6:E6"/>
    <mergeCell ref="B2:E2"/>
    <mergeCell ref="B3:E3"/>
    <mergeCell ref="B4:E4"/>
    <mergeCell ref="B5:E5"/>
  </mergeCells>
  <printOptions horizontalCentered="1"/>
  <pageMargins left="0.74803149606299213" right="0.74803149606299213" top="0.98425196850393704" bottom="0.98425196850393704" header="0.51181102362204722" footer="0.51181102362204722"/>
  <pageSetup orientation="landscape" horizontalDpi="4294967294" verticalDpi="14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3"/>
  <sheetViews>
    <sheetView view="pageBreakPreview" topLeftCell="A46" zoomScale="80" zoomScaleNormal="100" zoomScaleSheetLayoutView="80" workbookViewId="0">
      <selection activeCell="D82" sqref="D82"/>
    </sheetView>
  </sheetViews>
  <sheetFormatPr baseColWidth="10" defaultColWidth="11.42578125" defaultRowHeight="14.25" x14ac:dyDescent="0.2"/>
  <cols>
    <col min="1" max="1" width="30.7109375" style="7" bestFit="1" customWidth="1"/>
    <col min="2" max="3" width="20.85546875" style="7" bestFit="1" customWidth="1"/>
    <col min="4" max="4" width="20.85546875" style="498" bestFit="1" customWidth="1"/>
    <col min="5" max="5" width="22.7109375" style="7" customWidth="1"/>
    <col min="6" max="6" width="20.85546875" style="7" bestFit="1" customWidth="1"/>
    <col min="7" max="7" width="22" style="7" customWidth="1"/>
    <col min="8" max="16384" width="11.42578125" style="7"/>
  </cols>
  <sheetData>
    <row r="1" spans="1:7" ht="54" x14ac:dyDescent="0.2">
      <c r="A1" s="484" t="s">
        <v>262</v>
      </c>
      <c r="B1" s="484" t="s">
        <v>300</v>
      </c>
      <c r="C1" s="484" t="s">
        <v>301</v>
      </c>
      <c r="D1" s="484" t="s">
        <v>283</v>
      </c>
      <c r="E1" s="484" t="s">
        <v>302</v>
      </c>
      <c r="F1" s="484" t="s">
        <v>284</v>
      </c>
      <c r="G1" s="484" t="s">
        <v>303</v>
      </c>
    </row>
    <row r="2" spans="1:7" ht="18" x14ac:dyDescent="0.2">
      <c r="A2" s="485" t="s">
        <v>288</v>
      </c>
      <c r="B2" s="485">
        <v>150329367</v>
      </c>
      <c r="C2" s="485">
        <v>31417906.307998199</v>
      </c>
      <c r="D2" s="489">
        <f>+B2+C2</f>
        <v>181747273.30799821</v>
      </c>
      <c r="E2" s="485">
        <v>180591092.96402165</v>
      </c>
      <c r="F2" s="485">
        <f>+D2-E2</f>
        <v>1156180.3439765573</v>
      </c>
      <c r="G2" s="487">
        <f>+(D2-E2)/E2</f>
        <v>6.4022002691289867E-3</v>
      </c>
    </row>
    <row r="3" spans="1:7" ht="18" x14ac:dyDescent="0.2">
      <c r="A3" s="485" t="s">
        <v>289</v>
      </c>
      <c r="B3" s="485">
        <v>68448677.5</v>
      </c>
      <c r="C3" s="485">
        <v>17388337.708078034</v>
      </c>
      <c r="D3" s="489">
        <f>+B3+C3</f>
        <v>85837015.208078027</v>
      </c>
      <c r="E3" s="485">
        <v>95788500.094851837</v>
      </c>
      <c r="F3" s="485">
        <f t="shared" ref="F3:F7" si="0">+D3-E3</f>
        <v>-9951484.8867738098</v>
      </c>
      <c r="G3" s="487">
        <f t="shared" ref="G3:G7" si="1">+(D3-E3)/E3</f>
        <v>-0.10389018386256842</v>
      </c>
    </row>
    <row r="4" spans="1:7" ht="18" x14ac:dyDescent="0.2">
      <c r="A4" s="485" t="s">
        <v>291</v>
      </c>
      <c r="B4" s="485">
        <v>81881609.849999994</v>
      </c>
      <c r="C4" s="485">
        <v>18603704.096628286</v>
      </c>
      <c r="D4" s="489">
        <f t="shared" ref="D4:D7" si="2">+B4+C4</f>
        <v>100485313.94662827</v>
      </c>
      <c r="E4" s="485">
        <v>91451327.594400004</v>
      </c>
      <c r="F4" s="485">
        <f t="shared" si="0"/>
        <v>9033986.352228269</v>
      </c>
      <c r="G4" s="487">
        <f t="shared" si="1"/>
        <v>9.8784638669165287E-2</v>
      </c>
    </row>
    <row r="5" spans="1:7" ht="18" x14ac:dyDescent="0.2">
      <c r="A5" s="485" t="s">
        <v>287</v>
      </c>
      <c r="B5" s="485">
        <v>606106606.48000002</v>
      </c>
      <c r="C5" s="485">
        <v>238963104.46007922</v>
      </c>
      <c r="D5" s="489">
        <f t="shared" si="2"/>
        <v>845069710.94007921</v>
      </c>
      <c r="E5" s="485">
        <v>747630146.58417881</v>
      </c>
      <c r="F5" s="485">
        <f t="shared" si="0"/>
        <v>97439564.355900407</v>
      </c>
      <c r="G5" s="487">
        <f t="shared" si="1"/>
        <v>0.13033124038816335</v>
      </c>
    </row>
    <row r="6" spans="1:7" ht="18" x14ac:dyDescent="0.2">
      <c r="A6" s="485" t="s">
        <v>290</v>
      </c>
      <c r="B6" s="485">
        <v>19047735</v>
      </c>
      <c r="C6" s="485">
        <v>3129965.3000819571</v>
      </c>
      <c r="D6" s="489">
        <f t="shared" si="2"/>
        <v>22177700.300081957</v>
      </c>
      <c r="E6" s="490">
        <v>38562579.239493303</v>
      </c>
      <c r="F6" s="485">
        <f t="shared" si="0"/>
        <v>-16384878.939411346</v>
      </c>
      <c r="G6" s="487">
        <f t="shared" si="1"/>
        <v>-0.4248906391258967</v>
      </c>
    </row>
    <row r="7" spans="1:7" ht="18" x14ac:dyDescent="0.2">
      <c r="A7" s="485" t="s">
        <v>292</v>
      </c>
      <c r="B7" s="485">
        <v>8144896</v>
      </c>
      <c r="C7" s="485">
        <v>507500</v>
      </c>
      <c r="D7" s="489">
        <f t="shared" si="2"/>
        <v>8652396</v>
      </c>
      <c r="E7" s="485">
        <v>1000433.0152372266</v>
      </c>
      <c r="F7" s="485">
        <f t="shared" si="0"/>
        <v>7651962.9847627729</v>
      </c>
      <c r="G7" s="487">
        <f t="shared" si="1"/>
        <v>7.6486510023345335</v>
      </c>
    </row>
    <row r="8" spans="1:7" ht="18" x14ac:dyDescent="0.2">
      <c r="A8" s="484" t="s">
        <v>33</v>
      </c>
      <c r="B8" s="486">
        <f>SUM(B2:B7)</f>
        <v>933958891.83000004</v>
      </c>
      <c r="C8" s="486">
        <f>SUM(C2:C7)</f>
        <v>310010517.87286568</v>
      </c>
      <c r="D8" s="486">
        <f>SUM(D2:D7)</f>
        <v>1243969409.7028658</v>
      </c>
      <c r="E8" s="486">
        <f>SUM(E2:E7)</f>
        <v>1155024079.492183</v>
      </c>
      <c r="F8" s="486">
        <f>SUM(F2:F7)</f>
        <v>88945330.210682854</v>
      </c>
      <c r="G8" s="491">
        <f>+(D8-E8)/E8</f>
        <v>7.7007338452881866E-2</v>
      </c>
    </row>
    <row r="10" spans="1:7" ht="54" x14ac:dyDescent="0.2">
      <c r="A10" s="484" t="s">
        <v>233</v>
      </c>
      <c r="B10" s="484" t="str">
        <f>+B1</f>
        <v>Recaudo Septiembre 2018</v>
      </c>
      <c r="C10" s="484" t="s">
        <v>304</v>
      </c>
      <c r="D10" s="484" t="s">
        <v>283</v>
      </c>
      <c r="E10" s="484" t="s">
        <v>302</v>
      </c>
      <c r="F10" s="484" t="s">
        <v>284</v>
      </c>
      <c r="G10" s="484" t="str">
        <f>+G1</f>
        <v>% Variación Pro-Pre 2018</v>
      </c>
    </row>
    <row r="11" spans="1:7" ht="18" x14ac:dyDescent="0.2">
      <c r="A11" s="485" t="s">
        <v>288</v>
      </c>
      <c r="B11" s="485">
        <v>50573256.789999999</v>
      </c>
      <c r="C11" s="485">
        <v>9770620.9969261885</v>
      </c>
      <c r="D11" s="489">
        <f>+B11+C11</f>
        <v>60343877.786926188</v>
      </c>
      <c r="E11" s="485">
        <v>48180200.257707655</v>
      </c>
      <c r="F11" s="485">
        <f>+D11-E11</f>
        <v>12163677.529218532</v>
      </c>
      <c r="G11" s="487">
        <f>+(D11-E11)/E11</f>
        <v>0.25246216213625305</v>
      </c>
    </row>
    <row r="12" spans="1:7" ht="18" x14ac:dyDescent="0.2">
      <c r="A12" s="485" t="s">
        <v>289</v>
      </c>
      <c r="B12" s="485">
        <v>0</v>
      </c>
      <c r="C12" s="485">
        <v>0</v>
      </c>
      <c r="D12" s="489">
        <f>+B12+C12</f>
        <v>0</v>
      </c>
      <c r="E12" s="485">
        <v>0</v>
      </c>
      <c r="F12" s="485">
        <f t="shared" ref="F12:F16" si="3">+D12-E12</f>
        <v>0</v>
      </c>
      <c r="G12" s="487">
        <v>0</v>
      </c>
    </row>
    <row r="13" spans="1:7" ht="18" x14ac:dyDescent="0.2">
      <c r="A13" s="485" t="s">
        <v>291</v>
      </c>
      <c r="B13" s="485">
        <v>25775093.68</v>
      </c>
      <c r="C13" s="485">
        <v>2690434.4301011669</v>
      </c>
      <c r="D13" s="489">
        <f t="shared" ref="D13:D16" si="4">+B13+C13</f>
        <v>28465528.110101167</v>
      </c>
      <c r="E13" s="485">
        <v>15349076.639444793</v>
      </c>
      <c r="F13" s="485">
        <f t="shared" si="3"/>
        <v>13116451.470656374</v>
      </c>
      <c r="G13" s="487">
        <f t="shared" ref="G13:G16" si="5">+(D13-E13)/E13</f>
        <v>0.85454335650061775</v>
      </c>
    </row>
    <row r="14" spans="1:7" ht="18" x14ac:dyDescent="0.2">
      <c r="A14" s="485" t="s">
        <v>287</v>
      </c>
      <c r="B14" s="485">
        <v>35491319</v>
      </c>
      <c r="C14" s="485">
        <v>8626801.3084015045</v>
      </c>
      <c r="D14" s="489">
        <f t="shared" si="4"/>
        <v>44118120.308401503</v>
      </c>
      <c r="E14" s="485">
        <v>29168755.619692393</v>
      </c>
      <c r="F14" s="485">
        <f t="shared" si="3"/>
        <v>14949364.68870911</v>
      </c>
      <c r="G14" s="487">
        <f t="shared" si="5"/>
        <v>0.51251293965439182</v>
      </c>
    </row>
    <row r="15" spans="1:7" ht="18" x14ac:dyDescent="0.2">
      <c r="A15" s="485" t="s">
        <v>290</v>
      </c>
      <c r="B15" s="485">
        <v>24433069</v>
      </c>
      <c r="C15" s="485">
        <v>3079729.9489479866</v>
      </c>
      <c r="D15" s="489">
        <f t="shared" si="4"/>
        <v>27512798.948947988</v>
      </c>
      <c r="E15" s="485">
        <v>20912263.19123501</v>
      </c>
      <c r="F15" s="485">
        <f t="shared" si="3"/>
        <v>6600535.7577129789</v>
      </c>
      <c r="G15" s="487">
        <f t="shared" si="5"/>
        <v>0.31562991041923533</v>
      </c>
    </row>
    <row r="16" spans="1:7" ht="18" x14ac:dyDescent="0.2">
      <c r="A16" s="485" t="s">
        <v>292</v>
      </c>
      <c r="B16" s="485">
        <v>0</v>
      </c>
      <c r="C16" s="485">
        <v>276500</v>
      </c>
      <c r="D16" s="489">
        <f t="shared" si="4"/>
        <v>276500</v>
      </c>
      <c r="E16" s="485">
        <v>276504.29743401695</v>
      </c>
      <c r="F16" s="485">
        <f t="shared" si="3"/>
        <v>-4.2974340169457719</v>
      </c>
      <c r="G16" s="487">
        <f t="shared" si="5"/>
        <v>-1.5542015284486785E-5</v>
      </c>
    </row>
    <row r="17" spans="1:7" ht="18" x14ac:dyDescent="0.2">
      <c r="A17" s="484" t="s">
        <v>33</v>
      </c>
      <c r="B17" s="486">
        <f>SUM(B11:B16)</f>
        <v>136272738.47</v>
      </c>
      <c r="C17" s="486">
        <f>SUM(C11:C16)</f>
        <v>24444086.684376851</v>
      </c>
      <c r="D17" s="486">
        <f>SUM(D11:D16)</f>
        <v>160716825.15437686</v>
      </c>
      <c r="E17" s="486">
        <f>SUM(E11:E16)</f>
        <v>113886800.00551386</v>
      </c>
      <c r="F17" s="486">
        <f>SUM(F11:F16)</f>
        <v>46830025.148862973</v>
      </c>
      <c r="G17" s="491">
        <f>+(D17-E17)/E17</f>
        <v>0.41119800667501161</v>
      </c>
    </row>
    <row r="19" spans="1:7" ht="54" x14ac:dyDescent="0.2">
      <c r="A19" s="484" t="s">
        <v>234</v>
      </c>
      <c r="B19" s="484" t="str">
        <f>+B1</f>
        <v>Recaudo Septiembre 2018</v>
      </c>
      <c r="C19" s="484" t="s">
        <v>304</v>
      </c>
      <c r="D19" s="484" t="s">
        <v>283</v>
      </c>
      <c r="E19" s="484" t="s">
        <v>302</v>
      </c>
      <c r="F19" s="484" t="s">
        <v>284</v>
      </c>
      <c r="G19" s="484" t="str">
        <f>+G1</f>
        <v>% Variación Pro-Pre 2018</v>
      </c>
    </row>
    <row r="20" spans="1:7" ht="18" x14ac:dyDescent="0.2">
      <c r="A20" s="485" t="s">
        <v>288</v>
      </c>
      <c r="B20" s="485">
        <v>206506680</v>
      </c>
      <c r="C20" s="485">
        <v>40588063.523848593</v>
      </c>
      <c r="D20" s="489">
        <f>+B20+C20</f>
        <v>247094743.52384859</v>
      </c>
      <c r="E20" s="485">
        <v>243141036.52916729</v>
      </c>
      <c r="F20" s="485">
        <f>+D20-E20</f>
        <v>3953706.9946812987</v>
      </c>
      <c r="G20" s="487">
        <f>+(D20-E20)/E20</f>
        <v>1.6260961337996972E-2</v>
      </c>
    </row>
    <row r="21" spans="1:7" ht="18" x14ac:dyDescent="0.2">
      <c r="A21" s="485" t="s">
        <v>289</v>
      </c>
      <c r="B21" s="485">
        <v>46677272</v>
      </c>
      <c r="C21" s="485">
        <v>11668404.323553758</v>
      </c>
      <c r="D21" s="489">
        <f>+B21+C21</f>
        <v>58345676.323553756</v>
      </c>
      <c r="E21" s="485">
        <v>57324347.391857095</v>
      </c>
      <c r="F21" s="485">
        <f t="shared" ref="F21:F25" si="6">+D21-E21</f>
        <v>1021328.9316966608</v>
      </c>
      <c r="G21" s="487">
        <f t="shared" ref="G21:G24" si="7">+(D21-E21)/E21</f>
        <v>1.781666914958617E-2</v>
      </c>
    </row>
    <row r="22" spans="1:7" ht="18" x14ac:dyDescent="0.2">
      <c r="A22" s="485" t="s">
        <v>291</v>
      </c>
      <c r="B22" s="485">
        <v>36445468</v>
      </c>
      <c r="C22" s="485">
        <v>11060259.927210718</v>
      </c>
      <c r="D22" s="489">
        <f t="shared" ref="D22:D25" si="8">+B22+C22</f>
        <v>47505727.927210718</v>
      </c>
      <c r="E22" s="485">
        <v>49529676.075247988</v>
      </c>
      <c r="F22" s="485">
        <f t="shared" si="6"/>
        <v>-2023948.1480372697</v>
      </c>
      <c r="G22" s="487">
        <f t="shared" si="7"/>
        <v>-4.0863343119029998E-2</v>
      </c>
    </row>
    <row r="23" spans="1:7" ht="18" x14ac:dyDescent="0.2">
      <c r="A23" s="485" t="s">
        <v>287</v>
      </c>
      <c r="B23" s="485">
        <v>186866206</v>
      </c>
      <c r="C23" s="485">
        <v>73746710.441598967</v>
      </c>
      <c r="D23" s="489">
        <f t="shared" si="8"/>
        <v>260612916.44159895</v>
      </c>
      <c r="E23" s="485">
        <v>229652135.77465934</v>
      </c>
      <c r="F23" s="485">
        <f t="shared" si="6"/>
        <v>30960780.666939616</v>
      </c>
      <c r="G23" s="487">
        <f t="shared" si="7"/>
        <v>0.13481599272962627</v>
      </c>
    </row>
    <row r="24" spans="1:7" ht="18" x14ac:dyDescent="0.2">
      <c r="A24" s="485" t="s">
        <v>290</v>
      </c>
      <c r="B24" s="485">
        <v>64593696</v>
      </c>
      <c r="C24" s="485">
        <v>12010429.325226963</v>
      </c>
      <c r="D24" s="489">
        <f t="shared" si="8"/>
        <v>76604125.325226963</v>
      </c>
      <c r="E24" s="485">
        <v>72190574.505366907</v>
      </c>
      <c r="F24" s="485">
        <f t="shared" si="6"/>
        <v>4413550.819860056</v>
      </c>
      <c r="G24" s="487">
        <f t="shared" si="7"/>
        <v>6.1137494057924929E-2</v>
      </c>
    </row>
    <row r="25" spans="1:7" ht="18" x14ac:dyDescent="0.2">
      <c r="A25" s="485" t="s">
        <v>292</v>
      </c>
      <c r="B25" s="485">
        <v>0</v>
      </c>
      <c r="C25" s="485">
        <v>0</v>
      </c>
      <c r="D25" s="489">
        <f t="shared" si="8"/>
        <v>0</v>
      </c>
      <c r="E25" s="485">
        <v>0</v>
      </c>
      <c r="F25" s="485">
        <f t="shared" si="6"/>
        <v>0</v>
      </c>
      <c r="G25" s="487">
        <v>0</v>
      </c>
    </row>
    <row r="26" spans="1:7" ht="18" x14ac:dyDescent="0.2">
      <c r="A26" s="484" t="s">
        <v>33</v>
      </c>
      <c r="B26" s="486">
        <f>SUM(B20:B25)</f>
        <v>541089322</v>
      </c>
      <c r="C26" s="486">
        <f>SUM(C20:C25)</f>
        <v>149073867.541439</v>
      </c>
      <c r="D26" s="486">
        <f>SUM(D20:D25)</f>
        <v>690163189.54143906</v>
      </c>
      <c r="E26" s="486">
        <f>SUM(E20:E25)</f>
        <v>651837770.27629864</v>
      </c>
      <c r="F26" s="486">
        <f>SUM(F20:F25)</f>
        <v>38325419.265140362</v>
      </c>
      <c r="G26" s="491">
        <f>+(D26-E26)/E26</f>
        <v>5.8795947416325961E-2</v>
      </c>
    </row>
    <row r="28" spans="1:7" ht="54" x14ac:dyDescent="0.2">
      <c r="A28" s="484" t="s">
        <v>235</v>
      </c>
      <c r="B28" s="484" t="str">
        <f>+B1</f>
        <v>Recaudo Septiembre 2018</v>
      </c>
      <c r="C28" s="484" t="s">
        <v>304</v>
      </c>
      <c r="D28" s="484" t="s">
        <v>283</v>
      </c>
      <c r="E28" s="484" t="s">
        <v>302</v>
      </c>
      <c r="F28" s="484" t="s">
        <v>284</v>
      </c>
      <c r="G28" s="484" t="str">
        <f>+G1</f>
        <v>% Variación Pro-Pre 2018</v>
      </c>
    </row>
    <row r="29" spans="1:7" ht="18" x14ac:dyDescent="0.2">
      <c r="A29" s="485" t="s">
        <v>288</v>
      </c>
      <c r="B29" s="485">
        <v>264690604</v>
      </c>
      <c r="C29" s="485">
        <v>67757358.013565719</v>
      </c>
      <c r="D29" s="489">
        <f>+B29+C29</f>
        <v>332447962.01356572</v>
      </c>
      <c r="E29" s="485">
        <v>345344995.20628554</v>
      </c>
      <c r="F29" s="485">
        <f>+D29-E29</f>
        <v>-12897033.192719817</v>
      </c>
      <c r="G29" s="487">
        <f>+(D29-E29)/E29</f>
        <v>-3.7345360065276202E-2</v>
      </c>
    </row>
    <row r="30" spans="1:7" ht="18" x14ac:dyDescent="0.2">
      <c r="A30" s="485" t="s">
        <v>289</v>
      </c>
      <c r="B30" s="485">
        <v>325270029</v>
      </c>
      <c r="C30" s="485">
        <v>18797106.097212099</v>
      </c>
      <c r="D30" s="489">
        <f>+B30+C30</f>
        <v>344067135.09721208</v>
      </c>
      <c r="E30" s="485">
        <v>269715087.49047124</v>
      </c>
      <c r="F30" s="485">
        <f t="shared" ref="F30:F34" si="9">+D30-E30</f>
        <v>74352047.606740832</v>
      </c>
      <c r="G30" s="487">
        <f t="shared" ref="G30:G34" si="10">+(D30-E30)/E30</f>
        <v>0.2756688485562292</v>
      </c>
    </row>
    <row r="31" spans="1:7" ht="18" x14ac:dyDescent="0.2">
      <c r="A31" s="485" t="s">
        <v>291</v>
      </c>
      <c r="B31" s="485">
        <v>18816115</v>
      </c>
      <c r="C31" s="485">
        <v>4690480.9028618652</v>
      </c>
      <c r="D31" s="489">
        <f t="shared" ref="D31:D34" si="11">+B31+C31</f>
        <v>23506595.902861863</v>
      </c>
      <c r="E31" s="485">
        <v>21243633.810673047</v>
      </c>
      <c r="F31" s="485">
        <f t="shared" si="9"/>
        <v>2262962.0921888165</v>
      </c>
      <c r="G31" s="487">
        <f t="shared" si="10"/>
        <v>0.10652424685704563</v>
      </c>
    </row>
    <row r="32" spans="1:7" ht="18" x14ac:dyDescent="0.2">
      <c r="A32" s="485" t="s">
        <v>287</v>
      </c>
      <c r="B32" s="485">
        <v>21434549</v>
      </c>
      <c r="C32" s="485">
        <v>4410043.7205954362</v>
      </c>
      <c r="D32" s="489">
        <f t="shared" si="11"/>
        <v>25844592.720595434</v>
      </c>
      <c r="E32" s="485">
        <v>20122983.610205498</v>
      </c>
      <c r="F32" s="485">
        <f t="shared" si="9"/>
        <v>5721609.1103899367</v>
      </c>
      <c r="G32" s="487">
        <f t="shared" si="10"/>
        <v>0.28433204644107479</v>
      </c>
    </row>
    <row r="33" spans="1:7" ht="18" x14ac:dyDescent="0.2">
      <c r="A33" s="485" t="s">
        <v>290</v>
      </c>
      <c r="B33" s="485">
        <v>133702797</v>
      </c>
      <c r="C33" s="485">
        <v>16885966.776859287</v>
      </c>
      <c r="D33" s="489">
        <f t="shared" si="11"/>
        <v>150588763.77685928</v>
      </c>
      <c r="E33" s="485">
        <v>150589324.19275025</v>
      </c>
      <c r="F33" s="485">
        <f t="shared" si="9"/>
        <v>-560.41589096188545</v>
      </c>
      <c r="G33" s="487">
        <f t="shared" si="10"/>
        <v>-3.7214848659827195E-6</v>
      </c>
    </row>
    <row r="34" spans="1:7" ht="18" x14ac:dyDescent="0.2">
      <c r="A34" s="485" t="s">
        <v>292</v>
      </c>
      <c r="B34" s="485">
        <v>1855000</v>
      </c>
      <c r="C34" s="485">
        <v>1762740</v>
      </c>
      <c r="D34" s="489">
        <f t="shared" si="11"/>
        <v>3617740</v>
      </c>
      <c r="E34" s="485">
        <v>7564566.1826328281</v>
      </c>
      <c r="F34" s="485">
        <f t="shared" si="9"/>
        <v>-3946826.1826328281</v>
      </c>
      <c r="G34" s="487">
        <f t="shared" si="10"/>
        <v>-0.52175182123387087</v>
      </c>
    </row>
    <row r="35" spans="1:7" ht="18" x14ac:dyDescent="0.2">
      <c r="A35" s="484" t="s">
        <v>33</v>
      </c>
      <c r="B35" s="486">
        <f>SUM(B29:B34)</f>
        <v>765769094</v>
      </c>
      <c r="C35" s="486">
        <f>SUM(C29:C34)</f>
        <v>114303695.51109441</v>
      </c>
      <c r="D35" s="486">
        <f>SUM(D29:D34)</f>
        <v>880072789.51109445</v>
      </c>
      <c r="E35" s="486">
        <f>SUM(E29:E34)</f>
        <v>814580590.49301839</v>
      </c>
      <c r="F35" s="486">
        <f>SUM(F29:F34)</f>
        <v>65492199.01807598</v>
      </c>
      <c r="G35" s="491">
        <f>+(D35-E35)/E35</f>
        <v>8.0399901228235052E-2</v>
      </c>
    </row>
    <row r="37" spans="1:7" ht="54" x14ac:dyDescent="0.2">
      <c r="A37" s="484" t="s">
        <v>236</v>
      </c>
      <c r="B37" s="484" t="str">
        <f>+B1</f>
        <v>Recaudo Septiembre 2018</v>
      </c>
      <c r="C37" s="484" t="s">
        <v>304</v>
      </c>
      <c r="D37" s="484" t="s">
        <v>283</v>
      </c>
      <c r="E37" s="484" t="s">
        <v>302</v>
      </c>
      <c r="F37" s="484" t="s">
        <v>284</v>
      </c>
      <c r="G37" s="484" t="str">
        <f>+G1</f>
        <v>% Variación Pro-Pre 2018</v>
      </c>
    </row>
    <row r="38" spans="1:7" ht="18" x14ac:dyDescent="0.2">
      <c r="A38" s="485" t="s">
        <v>288</v>
      </c>
      <c r="B38" s="485">
        <v>151586743</v>
      </c>
      <c r="C38" s="485">
        <v>25728752.831851706</v>
      </c>
      <c r="D38" s="489">
        <f>+B38+C38</f>
        <v>177315495.83185172</v>
      </c>
      <c r="E38" s="485">
        <v>167348518.62938866</v>
      </c>
      <c r="F38" s="485">
        <f>+D38-E38</f>
        <v>9966977.2024630606</v>
      </c>
      <c r="G38" s="487">
        <f>+(D38-E38)/E38</f>
        <v>5.9558203945240806E-2</v>
      </c>
    </row>
    <row r="39" spans="1:7" ht="18" x14ac:dyDescent="0.2">
      <c r="A39" s="485" t="s">
        <v>289</v>
      </c>
      <c r="B39" s="485">
        <v>0</v>
      </c>
      <c r="C39" s="485">
        <v>0</v>
      </c>
      <c r="D39" s="489">
        <f>+B39+C39</f>
        <v>0</v>
      </c>
      <c r="E39" s="485">
        <v>0</v>
      </c>
      <c r="F39" s="485">
        <f t="shared" ref="F39:F43" si="12">+D39-E39</f>
        <v>0</v>
      </c>
      <c r="G39" s="487">
        <v>0</v>
      </c>
    </row>
    <row r="40" spans="1:7" ht="18" x14ac:dyDescent="0.2">
      <c r="A40" s="485" t="s">
        <v>291</v>
      </c>
      <c r="B40" s="485">
        <v>43671744</v>
      </c>
      <c r="C40" s="485">
        <v>13387964.929332603</v>
      </c>
      <c r="D40" s="489">
        <f t="shared" ref="D40:D43" si="13">+B40+C40</f>
        <v>57059708.929332599</v>
      </c>
      <c r="E40" s="485">
        <v>72158920.661571324</v>
      </c>
      <c r="F40" s="485">
        <f t="shared" si="12"/>
        <v>-15099211.732238725</v>
      </c>
      <c r="G40" s="487">
        <f t="shared" ref="G40:G43" si="14">+(D40-E40)/E40</f>
        <v>-0.20924941218362628</v>
      </c>
    </row>
    <row r="41" spans="1:7" ht="18" x14ac:dyDescent="0.2">
      <c r="A41" s="485" t="s">
        <v>287</v>
      </c>
      <c r="B41" s="485">
        <v>211024786</v>
      </c>
      <c r="C41" s="485">
        <v>55506758.312953606</v>
      </c>
      <c r="D41" s="489">
        <f t="shared" si="13"/>
        <v>266531544.31295359</v>
      </c>
      <c r="E41" s="485">
        <v>238342628.16</v>
      </c>
      <c r="F41" s="485">
        <f t="shared" si="12"/>
        <v>28188916.152953595</v>
      </c>
      <c r="G41" s="487">
        <f t="shared" si="14"/>
        <v>0.11827056020390236</v>
      </c>
    </row>
    <row r="42" spans="1:7" ht="18" x14ac:dyDescent="0.2">
      <c r="A42" s="485" t="s">
        <v>290</v>
      </c>
      <c r="B42" s="485">
        <v>67685239</v>
      </c>
      <c r="C42" s="485">
        <v>16405913.688201273</v>
      </c>
      <c r="D42" s="489">
        <f t="shared" si="13"/>
        <v>84091152.688201278</v>
      </c>
      <c r="E42" s="485">
        <v>57160338.138730936</v>
      </c>
      <c r="F42" s="485">
        <f t="shared" si="12"/>
        <v>26930814.549470343</v>
      </c>
      <c r="G42" s="487">
        <f t="shared" si="14"/>
        <v>0.47114512311155227</v>
      </c>
    </row>
    <row r="43" spans="1:7" ht="18" x14ac:dyDescent="0.2">
      <c r="A43" s="485" t="s">
        <v>292</v>
      </c>
      <c r="B43" s="485">
        <v>177740</v>
      </c>
      <c r="C43" s="485">
        <v>651690</v>
      </c>
      <c r="D43" s="489">
        <f t="shared" si="13"/>
        <v>829430</v>
      </c>
      <c r="E43" s="485">
        <v>1114393.7546959282</v>
      </c>
      <c r="F43" s="485">
        <f t="shared" si="12"/>
        <v>-284963.75469592819</v>
      </c>
      <c r="G43" s="487">
        <f t="shared" si="14"/>
        <v>-0.25571190927365073</v>
      </c>
    </row>
    <row r="44" spans="1:7" ht="18" x14ac:dyDescent="0.2">
      <c r="A44" s="484" t="s">
        <v>33</v>
      </c>
      <c r="B44" s="486">
        <f>SUM(B38:B43)</f>
        <v>474146252</v>
      </c>
      <c r="C44" s="486">
        <f>SUM(C38:C43)</f>
        <v>111681079.76233919</v>
      </c>
      <c r="D44" s="486">
        <f>SUM(D38:D43)</f>
        <v>585827331.76233923</v>
      </c>
      <c r="E44" s="486">
        <f>SUM(E38:E43)</f>
        <v>536124799.34438688</v>
      </c>
      <c r="F44" s="486">
        <f>SUM(F38:F43)</f>
        <v>49702532.417952344</v>
      </c>
      <c r="G44" s="491">
        <f>+(D44-E44)/E44</f>
        <v>9.2707019855698333E-2</v>
      </c>
    </row>
    <row r="46" spans="1:7" ht="54" x14ac:dyDescent="0.2">
      <c r="A46" s="484" t="s">
        <v>237</v>
      </c>
      <c r="B46" s="484" t="str">
        <f>+B1</f>
        <v>Recaudo Septiembre 2018</v>
      </c>
      <c r="C46" s="484" t="s">
        <v>304</v>
      </c>
      <c r="D46" s="484" t="s">
        <v>283</v>
      </c>
      <c r="E46" s="484" t="s">
        <v>302</v>
      </c>
      <c r="F46" s="484" t="s">
        <v>284</v>
      </c>
      <c r="G46" s="484" t="str">
        <f>+G1</f>
        <v>% Variación Pro-Pre 2018</v>
      </c>
    </row>
    <row r="47" spans="1:7" ht="18" x14ac:dyDescent="0.2">
      <c r="A47" s="485" t="s">
        <v>288</v>
      </c>
      <c r="B47" s="485">
        <v>23300912.649999999</v>
      </c>
      <c r="C47" s="485">
        <v>6771148.4904436404</v>
      </c>
      <c r="D47" s="489">
        <f>+B47+C47</f>
        <v>30072061.140443638</v>
      </c>
      <c r="E47" s="485">
        <v>30209091.258778092</v>
      </c>
      <c r="F47" s="485">
        <f>+D47-E47</f>
        <v>-137030.11833445355</v>
      </c>
      <c r="G47" s="487">
        <f>+(D47-E47)/E47</f>
        <v>-4.5360556251302538E-3</v>
      </c>
    </row>
    <row r="48" spans="1:7" ht="18" x14ac:dyDescent="0.2">
      <c r="A48" s="485" t="s">
        <v>289</v>
      </c>
      <c r="B48" s="485">
        <v>382066846</v>
      </c>
      <c r="C48" s="485">
        <v>63355130.596924469</v>
      </c>
      <c r="D48" s="489">
        <f>+B48+C48</f>
        <v>445421976.59692448</v>
      </c>
      <c r="E48" s="485">
        <v>370982667.60000008</v>
      </c>
      <c r="F48" s="485">
        <f t="shared" ref="F48:F52" si="15">+D48-E48</f>
        <v>74439308.9969244</v>
      </c>
      <c r="G48" s="487">
        <f t="shared" ref="G48:G51" si="16">+(D48-E48)/E48</f>
        <v>0.20065441191227334</v>
      </c>
    </row>
    <row r="49" spans="1:7" ht="18" x14ac:dyDescent="0.2">
      <c r="A49" s="485" t="s">
        <v>291</v>
      </c>
      <c r="B49" s="485">
        <v>6186429.5499999998</v>
      </c>
      <c r="C49" s="485">
        <v>1732540.9766592197</v>
      </c>
      <c r="D49" s="489">
        <f t="shared" ref="D49:D52" si="17">+B49+C49</f>
        <v>7918970.5266592195</v>
      </c>
      <c r="E49" s="485">
        <v>9051138.3462972622</v>
      </c>
      <c r="F49" s="485">
        <f t="shared" si="15"/>
        <v>-1132167.8196380427</v>
      </c>
      <c r="G49" s="487">
        <f t="shared" si="16"/>
        <v>-0.1250856827419064</v>
      </c>
    </row>
    <row r="50" spans="1:7" ht="18" x14ac:dyDescent="0.2">
      <c r="A50" s="485" t="s">
        <v>287</v>
      </c>
      <c r="B50" s="485">
        <v>0</v>
      </c>
      <c r="C50" s="485">
        <v>0</v>
      </c>
      <c r="D50" s="489">
        <f t="shared" si="17"/>
        <v>0</v>
      </c>
      <c r="E50" s="485">
        <v>0</v>
      </c>
      <c r="F50" s="485">
        <f t="shared" si="15"/>
        <v>0</v>
      </c>
      <c r="G50" s="487">
        <v>0</v>
      </c>
    </row>
    <row r="51" spans="1:7" ht="18" x14ac:dyDescent="0.2">
      <c r="A51" s="485" t="s">
        <v>290</v>
      </c>
      <c r="B51" s="485">
        <v>87739895</v>
      </c>
      <c r="C51" s="485">
        <v>18097551.063857965</v>
      </c>
      <c r="D51" s="489">
        <f t="shared" si="17"/>
        <v>105837446.06385797</v>
      </c>
      <c r="E51" s="485">
        <v>110203063.47986473</v>
      </c>
      <c r="F51" s="485">
        <f t="shared" si="15"/>
        <v>-4365617.4160067588</v>
      </c>
      <c r="G51" s="487">
        <f t="shared" si="16"/>
        <v>-3.961430180027984E-2</v>
      </c>
    </row>
    <row r="52" spans="1:7" ht="18" x14ac:dyDescent="0.2">
      <c r="A52" s="485" t="s">
        <v>292</v>
      </c>
      <c r="B52" s="485">
        <v>0</v>
      </c>
      <c r="C52" s="485">
        <v>0</v>
      </c>
      <c r="D52" s="489">
        <f t="shared" si="17"/>
        <v>0</v>
      </c>
      <c r="E52" s="485">
        <v>0</v>
      </c>
      <c r="F52" s="485">
        <f t="shared" si="15"/>
        <v>0</v>
      </c>
      <c r="G52" s="487">
        <v>0</v>
      </c>
    </row>
    <row r="53" spans="1:7" ht="18" x14ac:dyDescent="0.2">
      <c r="A53" s="484" t="s">
        <v>33</v>
      </c>
      <c r="B53" s="486">
        <f>SUM(B47:B52)</f>
        <v>499294083.19999999</v>
      </c>
      <c r="C53" s="486">
        <f>SUM(C47:C52)</f>
        <v>89956371.127885312</v>
      </c>
      <c r="D53" s="486">
        <f>SUM(D47:D52)</f>
        <v>589250454.32788527</v>
      </c>
      <c r="E53" s="486">
        <f>SUM(E47:E52)</f>
        <v>520445960.68494016</v>
      </c>
      <c r="F53" s="486">
        <f>SUM(F47:F52)</f>
        <v>68804493.642945141</v>
      </c>
      <c r="G53" s="491">
        <f>+(D53-E53)/E53</f>
        <v>0.13220295446696137</v>
      </c>
    </row>
    <row r="55" spans="1:7" ht="54" x14ac:dyDescent="0.2">
      <c r="A55" s="484" t="s">
        <v>261</v>
      </c>
      <c r="B55" s="484" t="str">
        <f>+B1</f>
        <v>Recaudo Septiembre 2018</v>
      </c>
      <c r="C55" s="484" t="s">
        <v>304</v>
      </c>
      <c r="D55" s="484" t="s">
        <v>283</v>
      </c>
      <c r="E55" s="484" t="s">
        <v>302</v>
      </c>
      <c r="F55" s="484" t="s">
        <v>284</v>
      </c>
      <c r="G55" s="484" t="str">
        <f>+G1</f>
        <v>% Variación Pro-Pre 2018</v>
      </c>
    </row>
    <row r="56" spans="1:7" ht="18" x14ac:dyDescent="0.2">
      <c r="A56" s="485" t="s">
        <v>262</v>
      </c>
      <c r="B56" s="485">
        <f>+B8</f>
        <v>933958891.83000004</v>
      </c>
      <c r="C56" s="485">
        <f>+C8</f>
        <v>310010517.87286568</v>
      </c>
      <c r="D56" s="492">
        <f>+B56+C56</f>
        <v>1243969409.7028656</v>
      </c>
      <c r="E56" s="485">
        <f>+E8</f>
        <v>1155024079.492183</v>
      </c>
      <c r="F56" s="485">
        <f>+D56-E56</f>
        <v>88945330.210682631</v>
      </c>
      <c r="G56" s="487">
        <f>+(D56-E56)/E56</f>
        <v>7.7007338452881671E-2</v>
      </c>
    </row>
    <row r="57" spans="1:7" ht="18" x14ac:dyDescent="0.2">
      <c r="A57" s="485" t="s">
        <v>235</v>
      </c>
      <c r="B57" s="485">
        <f>+B17</f>
        <v>136272738.47</v>
      </c>
      <c r="C57" s="485">
        <f>+C17</f>
        <v>24444086.684376851</v>
      </c>
      <c r="D57" s="492">
        <f t="shared" ref="D57:D61" si="18">+B57+C57</f>
        <v>160716825.15437686</v>
      </c>
      <c r="E57" s="485">
        <f>+E17</f>
        <v>113886800.00551386</v>
      </c>
      <c r="F57" s="485">
        <f t="shared" ref="F57:F61" si="19">+D57-E57</f>
        <v>46830025.148863003</v>
      </c>
      <c r="G57" s="487">
        <f t="shared" ref="G57:G61" si="20">+(D57-E57)/E57</f>
        <v>0.41119800667501161</v>
      </c>
    </row>
    <row r="58" spans="1:7" ht="18" x14ac:dyDescent="0.2">
      <c r="A58" s="485" t="s">
        <v>234</v>
      </c>
      <c r="B58" s="485">
        <f>+B26</f>
        <v>541089322</v>
      </c>
      <c r="C58" s="485">
        <f>+C26</f>
        <v>149073867.541439</v>
      </c>
      <c r="D58" s="492">
        <f t="shared" si="18"/>
        <v>690163189.54143906</v>
      </c>
      <c r="E58" s="485">
        <f>+E26</f>
        <v>651837770.27629864</v>
      </c>
      <c r="F58" s="485">
        <f t="shared" si="19"/>
        <v>38325419.265140414</v>
      </c>
      <c r="G58" s="487">
        <f t="shared" si="20"/>
        <v>5.8795947416325961E-2</v>
      </c>
    </row>
    <row r="59" spans="1:7" ht="18" x14ac:dyDescent="0.2">
      <c r="A59" s="485" t="s">
        <v>237</v>
      </c>
      <c r="B59" s="485">
        <f>+B35</f>
        <v>765769094</v>
      </c>
      <c r="C59" s="485">
        <f>+C35</f>
        <v>114303695.51109441</v>
      </c>
      <c r="D59" s="492">
        <f t="shared" si="18"/>
        <v>880072789.51109445</v>
      </c>
      <c r="E59" s="485">
        <f>+E35</f>
        <v>814580590.49301839</v>
      </c>
      <c r="F59" s="485">
        <f t="shared" si="19"/>
        <v>65492199.018076062</v>
      </c>
      <c r="G59" s="487">
        <f t="shared" si="20"/>
        <v>8.0399901228235052E-2</v>
      </c>
    </row>
    <row r="60" spans="1:7" ht="18" x14ac:dyDescent="0.2">
      <c r="A60" s="485" t="s">
        <v>236</v>
      </c>
      <c r="B60" s="485">
        <f>+B44</f>
        <v>474146252</v>
      </c>
      <c r="C60" s="485">
        <f>+C44</f>
        <v>111681079.76233919</v>
      </c>
      <c r="D60" s="492">
        <f t="shared" si="18"/>
        <v>585827331.76233923</v>
      </c>
      <c r="E60" s="485">
        <f>+E44</f>
        <v>536124799.34438688</v>
      </c>
      <c r="F60" s="485">
        <f t="shared" si="19"/>
        <v>49702532.417952359</v>
      </c>
      <c r="G60" s="487">
        <f t="shared" si="20"/>
        <v>9.2707019855698333E-2</v>
      </c>
    </row>
    <row r="61" spans="1:7" ht="18" x14ac:dyDescent="0.2">
      <c r="A61" s="485" t="s">
        <v>233</v>
      </c>
      <c r="B61" s="485">
        <f>+B53</f>
        <v>499294083.19999999</v>
      </c>
      <c r="C61" s="485">
        <f>+C53</f>
        <v>89956371.127885312</v>
      </c>
      <c r="D61" s="492">
        <f t="shared" si="18"/>
        <v>589250454.32788527</v>
      </c>
      <c r="E61" s="485">
        <f>+E53</f>
        <v>520445960.68494016</v>
      </c>
      <c r="F61" s="485">
        <f t="shared" si="19"/>
        <v>68804493.642945111</v>
      </c>
      <c r="G61" s="487">
        <f t="shared" si="20"/>
        <v>0.13220295446696137</v>
      </c>
    </row>
    <row r="62" spans="1:7" ht="18" x14ac:dyDescent="0.2">
      <c r="A62" s="484" t="s">
        <v>33</v>
      </c>
      <c r="B62" s="486">
        <f>SUM(B56:B61)</f>
        <v>3350530381.5</v>
      </c>
      <c r="C62" s="486">
        <f>SUM(C56:C61)</f>
        <v>799469618.50000048</v>
      </c>
      <c r="D62" s="486">
        <f>SUM(D56:D61)</f>
        <v>4150000000.0000005</v>
      </c>
      <c r="E62" s="486">
        <f>SUM(E56:E61)</f>
        <v>3791900000.2963409</v>
      </c>
      <c r="F62" s="486">
        <f>SUM(F56:F61)</f>
        <v>358099999.70365959</v>
      </c>
      <c r="G62" s="491">
        <f>+(D62-E62)/E62</f>
        <v>9.4438144380303707E-2</v>
      </c>
    </row>
    <row r="64" spans="1:7" ht="54" x14ac:dyDescent="0.2">
      <c r="A64" s="484" t="s">
        <v>305</v>
      </c>
      <c r="B64" s="484" t="str">
        <f>+B1</f>
        <v>Recaudo Septiembre 2018</v>
      </c>
      <c r="C64" s="484" t="s">
        <v>304</v>
      </c>
      <c r="D64" s="484" t="s">
        <v>283</v>
      </c>
      <c r="E64" s="484" t="s">
        <v>302</v>
      </c>
      <c r="F64" s="484" t="s">
        <v>284</v>
      </c>
      <c r="G64" s="484" t="str">
        <f>+G1</f>
        <v>% Variación Pro-Pre 2018</v>
      </c>
    </row>
    <row r="65" spans="1:7" ht="18" x14ac:dyDescent="0.2">
      <c r="A65" s="485" t="s">
        <v>288</v>
      </c>
      <c r="B65" s="485">
        <f t="shared" ref="B65:C70" si="21">+B2+B11+B20+B29+B38+B47</f>
        <v>846987563.43999994</v>
      </c>
      <c r="C65" s="485">
        <f t="shared" si="21"/>
        <v>182033850.16463405</v>
      </c>
      <c r="D65" s="492">
        <f>+B65+C65</f>
        <v>1029021413.604634</v>
      </c>
      <c r="E65" s="485">
        <f t="shared" ref="E65:E70" si="22">+E2+E11+E20+E29+E38+E47</f>
        <v>1014814934.845349</v>
      </c>
      <c r="F65" s="485">
        <f>+D65-E65</f>
        <v>14206478.759285092</v>
      </c>
      <c r="G65" s="487">
        <f>+(D65-E65)/E65</f>
        <v>1.3999083252997322E-2</v>
      </c>
    </row>
    <row r="66" spans="1:7" ht="18" x14ac:dyDescent="0.2">
      <c r="A66" s="485" t="s">
        <v>289</v>
      </c>
      <c r="B66" s="485">
        <f t="shared" si="21"/>
        <v>822462824.5</v>
      </c>
      <c r="C66" s="485">
        <f t="shared" si="21"/>
        <v>111208978.72576836</v>
      </c>
      <c r="D66" s="492">
        <f t="shared" ref="D66:D70" si="23">+B66+C66</f>
        <v>933671803.22576833</v>
      </c>
      <c r="E66" s="485">
        <f t="shared" si="22"/>
        <v>793810602.57718027</v>
      </c>
      <c r="F66" s="485">
        <f t="shared" ref="F66:F70" si="24">+D66-E66</f>
        <v>139861200.64858806</v>
      </c>
      <c r="G66" s="487">
        <f t="shared" ref="G66:G70" si="25">+(D66-E66)/E66</f>
        <v>0.1761896354048631</v>
      </c>
    </row>
    <row r="67" spans="1:7" ht="18" x14ac:dyDescent="0.2">
      <c r="A67" s="485" t="s">
        <v>291</v>
      </c>
      <c r="B67" s="485">
        <f t="shared" si="21"/>
        <v>212776460.08000001</v>
      </c>
      <c r="C67" s="485">
        <f t="shared" si="21"/>
        <v>52165385.262793869</v>
      </c>
      <c r="D67" s="492">
        <f t="shared" si="23"/>
        <v>264941845.34279388</v>
      </c>
      <c r="E67" s="485">
        <f t="shared" si="22"/>
        <v>258783773.12763444</v>
      </c>
      <c r="F67" s="485">
        <f t="shared" si="24"/>
        <v>6158072.215159446</v>
      </c>
      <c r="G67" s="487">
        <f t="shared" si="25"/>
        <v>2.3796206928794684E-2</v>
      </c>
    </row>
    <row r="68" spans="1:7" ht="18" x14ac:dyDescent="0.2">
      <c r="A68" s="485" t="s">
        <v>287</v>
      </c>
      <c r="B68" s="485">
        <f t="shared" si="21"/>
        <v>1060923466.48</v>
      </c>
      <c r="C68" s="485">
        <f t="shared" si="21"/>
        <v>381253418.24362868</v>
      </c>
      <c r="D68" s="492">
        <f t="shared" si="23"/>
        <v>1442176884.7236288</v>
      </c>
      <c r="E68" s="485">
        <f t="shared" si="22"/>
        <v>1264916649.7487361</v>
      </c>
      <c r="F68" s="485">
        <f t="shared" si="24"/>
        <v>177260234.97489262</v>
      </c>
      <c r="G68" s="487">
        <f t="shared" si="25"/>
        <v>0.14013590145256108</v>
      </c>
    </row>
    <row r="69" spans="1:7" ht="18" x14ac:dyDescent="0.2">
      <c r="A69" s="485" t="s">
        <v>290</v>
      </c>
      <c r="B69" s="485">
        <f t="shared" si="21"/>
        <v>397202431</v>
      </c>
      <c r="C69" s="485">
        <f t="shared" si="21"/>
        <v>69609556.103175431</v>
      </c>
      <c r="D69" s="492">
        <f t="shared" si="23"/>
        <v>466811987.1031754</v>
      </c>
      <c r="E69" s="485">
        <f t="shared" si="22"/>
        <v>449618142.74744111</v>
      </c>
      <c r="F69" s="485">
        <f t="shared" si="24"/>
        <v>17193844.355734289</v>
      </c>
      <c r="G69" s="487">
        <f t="shared" si="25"/>
        <v>3.8240993236325856E-2</v>
      </c>
    </row>
    <row r="70" spans="1:7" ht="18" x14ac:dyDescent="0.2">
      <c r="A70" s="485" t="s">
        <v>292</v>
      </c>
      <c r="B70" s="485">
        <f t="shared" si="21"/>
        <v>10177636</v>
      </c>
      <c r="C70" s="485">
        <f t="shared" si="21"/>
        <v>3198430</v>
      </c>
      <c r="D70" s="492">
        <f t="shared" si="23"/>
        <v>13376066</v>
      </c>
      <c r="E70" s="485">
        <f t="shared" si="22"/>
        <v>9955897.25</v>
      </c>
      <c r="F70" s="493">
        <f t="shared" si="24"/>
        <v>3420168.75</v>
      </c>
      <c r="G70" s="487">
        <f t="shared" si="25"/>
        <v>0.3435319453502797</v>
      </c>
    </row>
    <row r="71" spans="1:7" ht="18" x14ac:dyDescent="0.2">
      <c r="A71" s="484" t="s">
        <v>33</v>
      </c>
      <c r="B71" s="486">
        <f>SUM(B65:B70)</f>
        <v>3350530381.5</v>
      </c>
      <c r="C71" s="486">
        <f>SUM(C65:C70)</f>
        <v>799469618.50000048</v>
      </c>
      <c r="D71" s="486">
        <f>SUM(D65:D70)</f>
        <v>4150000000</v>
      </c>
      <c r="E71" s="494">
        <f>SUM(E65:E70)</f>
        <v>3791900000.2963409</v>
      </c>
      <c r="F71" s="486">
        <f>SUM(F65:F70)</f>
        <v>358099999.70365947</v>
      </c>
      <c r="G71" s="495">
        <f>+(D71-E71)/E71</f>
        <v>9.4438144380303582E-2</v>
      </c>
    </row>
    <row r="72" spans="1:7" ht="18" x14ac:dyDescent="0.2">
      <c r="D72" s="488">
        <v>2017</v>
      </c>
      <c r="E72" s="494">
        <v>3421636824.2000003</v>
      </c>
      <c r="F72" s="496">
        <f>+D71-E72</f>
        <v>728363175.79999971</v>
      </c>
      <c r="G72" s="497">
        <f>+(D71-E72)/E72</f>
        <v>0.2128698085806624</v>
      </c>
    </row>
    <row r="73" spans="1:7" ht="18" x14ac:dyDescent="0.2">
      <c r="D73" s="488">
        <v>2016</v>
      </c>
      <c r="E73" s="494">
        <v>4067951990.4399996</v>
      </c>
      <c r="F73" s="496">
        <f>+D71-E73</f>
        <v>82048009.56000042</v>
      </c>
      <c r="G73" s="497">
        <f>+(D71-E73)/E73</f>
        <v>2.01693652611485E-2</v>
      </c>
    </row>
  </sheetData>
  <pageMargins left="0.70866141732283472" right="0.70866141732283472" top="0.74803149606299213" bottom="0.74803149606299213" header="0.31496062992125984" footer="0.31496062992125984"/>
  <pageSetup scale="56" orientation="portrait" r:id="rId1"/>
  <rowBreaks count="1" manualBreakCount="1">
    <brk id="5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E6012-930A-4E0F-A339-F8911D6DA5F4}">
  <dimension ref="A3:J142"/>
  <sheetViews>
    <sheetView zoomScale="70" zoomScaleNormal="70" workbookViewId="0">
      <selection activeCell="F13" sqref="F13:H15"/>
    </sheetView>
  </sheetViews>
  <sheetFormatPr baseColWidth="10" defaultColWidth="11.5703125" defaultRowHeight="18" x14ac:dyDescent="0.25"/>
  <cols>
    <col min="1" max="1" width="31.140625" style="1449" customWidth="1"/>
    <col min="2" max="2" width="22.28515625" style="1449" customWidth="1"/>
    <col min="3" max="3" width="21.5703125" style="1449" customWidth="1"/>
    <col min="4" max="4" width="22.28515625" style="1449" customWidth="1"/>
    <col min="5" max="5" width="20.28515625" style="1449" customWidth="1"/>
    <col min="6" max="6" width="19.7109375" style="1449" customWidth="1"/>
    <col min="7" max="7" width="5" style="1449" customWidth="1"/>
    <col min="8" max="8" width="15.42578125" style="1449" customWidth="1"/>
    <col min="9" max="9" width="22" style="1449" customWidth="1"/>
    <col min="10" max="16384" width="11.5703125" style="1449"/>
  </cols>
  <sheetData>
    <row r="3" spans="1:9" x14ac:dyDescent="0.25">
      <c r="A3" s="1542" t="s">
        <v>113</v>
      </c>
      <c r="B3" s="1542"/>
      <c r="C3" s="1542"/>
      <c r="D3" s="1542"/>
      <c r="E3" s="1542"/>
      <c r="F3" s="1542"/>
    </row>
    <row r="4" spans="1:9" x14ac:dyDescent="0.25">
      <c r="A4" s="1542" t="s">
        <v>114</v>
      </c>
      <c r="B4" s="1542"/>
      <c r="C4" s="1542"/>
      <c r="D4" s="1542"/>
      <c r="E4" s="1542"/>
      <c r="F4" s="1542"/>
    </row>
    <row r="5" spans="1:9" x14ac:dyDescent="0.25">
      <c r="A5" s="1542" t="s">
        <v>269</v>
      </c>
      <c r="B5" s="1542"/>
      <c r="C5" s="1542"/>
      <c r="D5" s="1542"/>
      <c r="E5" s="1542"/>
      <c r="F5" s="1542"/>
    </row>
    <row r="6" spans="1:9" x14ac:dyDescent="0.25">
      <c r="B6" s="1443"/>
      <c r="C6" s="1442"/>
      <c r="D6" s="1459"/>
      <c r="E6" s="1443"/>
      <c r="F6" s="1453"/>
    </row>
    <row r="7" spans="1:9" x14ac:dyDescent="0.25">
      <c r="A7" s="1541" t="s">
        <v>271</v>
      </c>
      <c r="B7" s="1541"/>
      <c r="C7" s="1541"/>
      <c r="D7" s="1541"/>
      <c r="E7" s="1541"/>
      <c r="F7" s="1541"/>
    </row>
    <row r="8" spans="1:9" ht="18.75" thickBot="1" x14ac:dyDescent="0.3"/>
    <row r="9" spans="1:9" ht="36.75" thickBot="1" x14ac:dyDescent="0.3">
      <c r="A9" s="1465" t="s">
        <v>262</v>
      </c>
      <c r="B9" s="1465" t="s">
        <v>543</v>
      </c>
      <c r="C9" s="1465" t="s">
        <v>283</v>
      </c>
      <c r="D9" s="1465" t="s">
        <v>544</v>
      </c>
      <c r="E9" s="1465" t="s">
        <v>545</v>
      </c>
      <c r="F9" s="1465" t="s">
        <v>284</v>
      </c>
      <c r="H9" s="1463" t="s">
        <v>285</v>
      </c>
      <c r="I9" s="1457">
        <f>+C92</f>
        <v>4643999999.5888014</v>
      </c>
    </row>
    <row r="10" spans="1:9" x14ac:dyDescent="0.25">
      <c r="A10" s="1450" t="s">
        <v>288</v>
      </c>
      <c r="B10" s="1445">
        <v>0.16640393177814589</v>
      </c>
      <c r="C10" s="1450">
        <v>181747273.30799821</v>
      </c>
      <c r="D10" s="1445">
        <v>0.24210577672564937</v>
      </c>
      <c r="E10" s="1450">
        <v>225749338.08000001</v>
      </c>
      <c r="F10" s="1450">
        <v>44002064.772001803</v>
      </c>
    </row>
    <row r="11" spans="1:9" x14ac:dyDescent="0.25">
      <c r="A11" s="1450" t="s">
        <v>289</v>
      </c>
      <c r="B11" s="1445">
        <v>6.5936100773869868E-2</v>
      </c>
      <c r="C11" s="1450">
        <v>85837015.208078027</v>
      </c>
      <c r="D11" s="1445">
        <v>4.2105181762912114E-2</v>
      </c>
      <c r="E11" s="1450">
        <v>89451198.3354</v>
      </c>
      <c r="F11" s="1450">
        <v>3614183.1273219734</v>
      </c>
    </row>
    <row r="12" spans="1:9" x14ac:dyDescent="0.25">
      <c r="A12" s="1450" t="s">
        <v>291</v>
      </c>
      <c r="B12" s="1445">
        <v>9.2586838653443027E-2</v>
      </c>
      <c r="C12" s="1450">
        <v>100485313.94662827</v>
      </c>
      <c r="D12" s="1445">
        <v>0.24999870718137562</v>
      </c>
      <c r="E12" s="1450">
        <v>125606512.52399999</v>
      </c>
      <c r="F12" s="1450">
        <v>25121198.577371716</v>
      </c>
    </row>
    <row r="13" spans="1:9" x14ac:dyDescent="0.25">
      <c r="A13" s="1450" t="s">
        <v>287</v>
      </c>
      <c r="B13" s="1445">
        <v>0.65683651851583991</v>
      </c>
      <c r="C13" s="1450">
        <v>845069710.94007921</v>
      </c>
      <c r="D13" s="1445">
        <v>5.445404360159789E-2</v>
      </c>
      <c r="E13" s="1450">
        <v>891087173.82599998</v>
      </c>
      <c r="F13" s="1450">
        <v>46017462.885920763</v>
      </c>
    </row>
    <row r="14" spans="1:9" x14ac:dyDescent="0.25">
      <c r="A14" s="1450" t="s">
        <v>290</v>
      </c>
      <c r="B14" s="1445">
        <v>1.7394902447908867E-2</v>
      </c>
      <c r="C14" s="1450">
        <v>22177700.300081957</v>
      </c>
      <c r="D14" s="1445">
        <v>6.4065565892456044E-2</v>
      </c>
      <c r="E14" s="1450">
        <v>23598527.219999999</v>
      </c>
      <c r="F14" s="1450">
        <v>1420826.9199180417</v>
      </c>
    </row>
    <row r="15" spans="1:9" x14ac:dyDescent="0.25">
      <c r="A15" s="1450" t="s">
        <v>292</v>
      </c>
      <c r="B15" s="1445">
        <v>8.4170783079244463E-4</v>
      </c>
      <c r="C15" s="1450">
        <v>8652396</v>
      </c>
      <c r="D15" s="1445">
        <v>-0.86802615136893868</v>
      </c>
      <c r="E15" s="1450">
        <v>1141890</v>
      </c>
      <c r="F15" s="1450">
        <v>-7510506</v>
      </c>
    </row>
    <row r="16" spans="1:9" x14ac:dyDescent="0.25">
      <c r="A16" s="1465" t="s">
        <v>33</v>
      </c>
      <c r="B16" s="1467">
        <v>1</v>
      </c>
      <c r="C16" s="1466">
        <v>1243969409.7028658</v>
      </c>
      <c r="D16" s="1468">
        <v>9.0569132491324936E-2</v>
      </c>
      <c r="E16" s="1466">
        <v>1356634639.9854</v>
      </c>
      <c r="F16" s="1466">
        <v>112665230.28253412</v>
      </c>
      <c r="G16" s="1472"/>
      <c r="H16" s="1472"/>
    </row>
    <row r="18" spans="1:9" ht="36" x14ac:dyDescent="0.25">
      <c r="A18" s="1465" t="s">
        <v>233</v>
      </c>
      <c r="B18" s="1465" t="s">
        <v>543</v>
      </c>
      <c r="C18" s="1465" t="s">
        <v>283</v>
      </c>
      <c r="D18" s="1465" t="s">
        <v>544</v>
      </c>
      <c r="E18" s="1465" t="s">
        <v>545</v>
      </c>
      <c r="F18" s="1465" t="s">
        <v>284</v>
      </c>
    </row>
    <row r="19" spans="1:9" x14ac:dyDescent="0.25">
      <c r="A19" s="1450" t="s">
        <v>288</v>
      </c>
      <c r="B19" s="1445">
        <v>0.38665948238948811</v>
      </c>
      <c r="C19" s="1450">
        <v>44305878.834814951</v>
      </c>
      <c r="D19" s="1445">
        <v>0.31674512579936875</v>
      </c>
      <c r="E19" s="1450">
        <v>58339550</v>
      </c>
      <c r="F19" s="1450">
        <v>14033671.165185049</v>
      </c>
    </row>
    <row r="20" spans="1:9" x14ac:dyDescent="0.25">
      <c r="A20" s="1450" t="s">
        <v>289</v>
      </c>
      <c r="B20" s="1445">
        <v>0</v>
      </c>
      <c r="C20" s="1450">
        <v>0</v>
      </c>
      <c r="D20" s="1445">
        <v>0</v>
      </c>
      <c r="E20" s="1450">
        <v>0</v>
      </c>
      <c r="F20" s="1450">
        <v>0</v>
      </c>
    </row>
    <row r="21" spans="1:9" x14ac:dyDescent="0.25">
      <c r="A21" s="1450" t="s">
        <v>291</v>
      </c>
      <c r="B21" s="1445">
        <v>7.2173935354063995E-2</v>
      </c>
      <c r="C21" s="1450">
        <v>9899701.7508777846</v>
      </c>
      <c r="D21" s="1445">
        <v>9.9999999999999867E-2</v>
      </c>
      <c r="E21" s="1450">
        <v>10889671.925965562</v>
      </c>
      <c r="F21" s="1450">
        <v>989970.1750877779</v>
      </c>
    </row>
    <row r="22" spans="1:9" x14ac:dyDescent="0.25">
      <c r="A22" s="1450" t="s">
        <v>287</v>
      </c>
      <c r="B22" s="1445">
        <v>0.20230593013840589</v>
      </c>
      <c r="C22" s="1450">
        <v>29925598.935799893</v>
      </c>
      <c r="D22" s="1445">
        <v>2.0000000000000018E-2</v>
      </c>
      <c r="E22" s="1450">
        <v>30524110.91451589</v>
      </c>
      <c r="F22" s="1450">
        <v>598511.97871599719</v>
      </c>
    </row>
    <row r="23" spans="1:9" x14ac:dyDescent="0.25">
      <c r="A23" s="1450" t="s">
        <v>290</v>
      </c>
      <c r="B23" s="1445">
        <v>0.33675319587415953</v>
      </c>
      <c r="C23" s="1450">
        <v>36292601.488138661</v>
      </c>
      <c r="D23" s="1445">
        <v>0.39999999999999991</v>
      </c>
      <c r="E23" s="1450">
        <v>50809642.083394125</v>
      </c>
      <c r="F23" s="1450">
        <v>14517040.595255464</v>
      </c>
    </row>
    <row r="24" spans="1:9" x14ac:dyDescent="0.25">
      <c r="A24" s="1450" t="s">
        <v>292</v>
      </c>
      <c r="B24" s="1445">
        <v>2.1074562438825372E-3</v>
      </c>
      <c r="C24" s="1450">
        <v>276500</v>
      </c>
      <c r="D24" s="1445">
        <v>0.14999999999999991</v>
      </c>
      <c r="E24" s="1450">
        <v>317975</v>
      </c>
      <c r="F24" s="1450">
        <v>41475</v>
      </c>
    </row>
    <row r="25" spans="1:9" x14ac:dyDescent="0.25">
      <c r="A25" s="1465" t="s">
        <v>33</v>
      </c>
      <c r="B25" s="1467">
        <v>1.0000000000000002</v>
      </c>
      <c r="C25" s="1466">
        <v>120700281.00963129</v>
      </c>
      <c r="D25" s="1468">
        <v>0.25004638482851593</v>
      </c>
      <c r="E25" s="1466">
        <v>150880949.92387557</v>
      </c>
      <c r="F25" s="1466">
        <v>30180668.914244279</v>
      </c>
      <c r="G25" s="1472"/>
      <c r="H25" s="1472"/>
    </row>
    <row r="27" spans="1:9" ht="36" x14ac:dyDescent="0.25">
      <c r="A27" s="1465" t="s">
        <v>234</v>
      </c>
      <c r="B27" s="1465" t="s">
        <v>543</v>
      </c>
      <c r="C27" s="1465" t="s">
        <v>283</v>
      </c>
      <c r="D27" s="1465" t="s">
        <v>544</v>
      </c>
      <c r="E27" s="1465" t="s">
        <v>545</v>
      </c>
      <c r="F27" s="1465" t="s">
        <v>284</v>
      </c>
    </row>
    <row r="28" spans="1:9" x14ac:dyDescent="0.25">
      <c r="A28" s="1450" t="s">
        <v>288</v>
      </c>
      <c r="B28" s="1445">
        <v>0.42614064045898875</v>
      </c>
      <c r="C28" s="1450">
        <v>288803717.19073832</v>
      </c>
      <c r="D28" s="1445">
        <v>0.16768160507753405</v>
      </c>
      <c r="E28" s="1450">
        <v>337230788.04163951</v>
      </c>
      <c r="F28" s="1450">
        <v>48427070.850901186</v>
      </c>
    </row>
    <row r="29" spans="1:9" x14ac:dyDescent="0.25">
      <c r="A29" s="1450" t="s">
        <v>289</v>
      </c>
      <c r="B29" s="1445">
        <v>7.5994377341269168E-2</v>
      </c>
      <c r="C29" s="1450">
        <v>58345676.323553756</v>
      </c>
      <c r="D29" s="1445">
        <v>3.0735053039779636E-2</v>
      </c>
      <c r="E29" s="1450">
        <v>60138933.780000001</v>
      </c>
      <c r="F29" s="1450">
        <v>1793257.4564462453</v>
      </c>
    </row>
    <row r="30" spans="1:9" x14ac:dyDescent="0.25">
      <c r="A30" s="1450" t="s">
        <v>291</v>
      </c>
      <c r="B30" s="1445">
        <v>4.8889365387350642E-2</v>
      </c>
      <c r="C30" s="1450">
        <v>34513258.715637967</v>
      </c>
      <c r="D30" s="1445">
        <v>0.12099247187197548</v>
      </c>
      <c r="E30" s="1450">
        <v>38689103.200000003</v>
      </c>
      <c r="F30" s="1450">
        <v>4175844.484362036</v>
      </c>
      <c r="I30" s="1480"/>
    </row>
    <row r="31" spans="1:9" x14ac:dyDescent="0.25">
      <c r="A31" s="1450" t="s">
        <v>287</v>
      </c>
      <c r="B31" s="1445">
        <v>0.34575144701061061</v>
      </c>
      <c r="C31" s="1450">
        <v>268248991.40988845</v>
      </c>
      <c r="D31" s="1445">
        <v>2.0000000000000018E-2</v>
      </c>
      <c r="E31" s="1450">
        <v>273613971.23808622</v>
      </c>
      <c r="F31" s="1450">
        <v>5364979.8281977773</v>
      </c>
    </row>
    <row r="32" spans="1:9" x14ac:dyDescent="0.25">
      <c r="A32" s="1450" t="s">
        <v>290</v>
      </c>
      <c r="B32" s="1445">
        <v>0.10322416980178063</v>
      </c>
      <c r="C32" s="1450">
        <v>67344733.628323466</v>
      </c>
      <c r="D32" s="1445">
        <v>0.21297548151032131</v>
      </c>
      <c r="E32" s="1450">
        <v>81687510.699999988</v>
      </c>
      <c r="F32" s="1450">
        <v>14342777.071676522</v>
      </c>
    </row>
    <row r="33" spans="1:8" x14ac:dyDescent="0.25">
      <c r="A33" s="1450" t="s">
        <v>292</v>
      </c>
      <c r="B33" s="1445">
        <v>0</v>
      </c>
      <c r="C33" s="1450">
        <v>0</v>
      </c>
      <c r="D33" s="1445">
        <v>0</v>
      </c>
      <c r="E33" s="1450">
        <v>0</v>
      </c>
      <c r="F33" s="1450">
        <v>0</v>
      </c>
    </row>
    <row r="34" spans="1:8" x14ac:dyDescent="0.25">
      <c r="A34" s="1465" t="s">
        <v>33</v>
      </c>
      <c r="B34" s="1467">
        <v>0.99999999999999978</v>
      </c>
      <c r="C34" s="1466">
        <v>717256377.26814187</v>
      </c>
      <c r="D34" s="1468">
        <v>0.10331581849969483</v>
      </c>
      <c r="E34" s="1466">
        <v>791360306.95972586</v>
      </c>
      <c r="F34" s="1466">
        <v>74103929.691583991</v>
      </c>
      <c r="G34" s="1472"/>
      <c r="H34" s="1472"/>
    </row>
    <row r="36" spans="1:8" ht="36" x14ac:dyDescent="0.25">
      <c r="A36" s="1465" t="s">
        <v>235</v>
      </c>
      <c r="B36" s="1465" t="s">
        <v>543</v>
      </c>
      <c r="C36" s="1465" t="s">
        <v>283</v>
      </c>
      <c r="D36" s="1465" t="s">
        <v>544</v>
      </c>
      <c r="E36" s="1465" t="s">
        <v>545</v>
      </c>
      <c r="F36" s="1465" t="s">
        <v>284</v>
      </c>
    </row>
    <row r="37" spans="1:8" x14ac:dyDescent="0.25">
      <c r="A37" s="1450" t="s">
        <v>288</v>
      </c>
      <c r="B37" s="1445">
        <v>0.33942183892767369</v>
      </c>
      <c r="C37" s="1450">
        <v>240538382.38800108</v>
      </c>
      <c r="D37" s="1445">
        <v>0.22753513480571552</v>
      </c>
      <c r="E37" s="1450">
        <v>295269315.65060365</v>
      </c>
      <c r="F37" s="1450">
        <v>54730933.262602568</v>
      </c>
    </row>
    <row r="38" spans="1:8" x14ac:dyDescent="0.25">
      <c r="A38" s="1450" t="s">
        <v>289</v>
      </c>
      <c r="B38" s="1445">
        <v>0.43206670013202858</v>
      </c>
      <c r="C38" s="1450">
        <v>344067135.09721208</v>
      </c>
      <c r="D38" s="1445">
        <v>9.2411190078367955E-2</v>
      </c>
      <c r="E38" s="1450">
        <v>375862788.51840007</v>
      </c>
      <c r="F38" s="1450">
        <v>31795653.421187997</v>
      </c>
    </row>
    <row r="39" spans="1:8" x14ac:dyDescent="0.25">
      <c r="A39" s="1450" t="s">
        <v>291</v>
      </c>
      <c r="B39" s="1445">
        <v>1.8534582452394685E-2</v>
      </c>
      <c r="C39" s="1450">
        <v>13731842.885413999</v>
      </c>
      <c r="D39" s="1445">
        <v>0.1741741537930428</v>
      </c>
      <c r="E39" s="1450">
        <v>16123574.999999998</v>
      </c>
      <c r="F39" s="1450">
        <v>2391732.1145859994</v>
      </c>
    </row>
    <row r="40" spans="1:8" x14ac:dyDescent="0.25">
      <c r="A40" s="1450" t="s">
        <v>287</v>
      </c>
      <c r="B40" s="1445">
        <v>1.9399458845260818E-2</v>
      </c>
      <c r="C40" s="1450">
        <v>16585643.752305942</v>
      </c>
      <c r="D40" s="1445">
        <v>1.750328006735935E-2</v>
      </c>
      <c r="E40" s="1450">
        <v>16875946.920000002</v>
      </c>
      <c r="F40" s="1450">
        <v>290303.16769406013</v>
      </c>
    </row>
    <row r="41" spans="1:8" x14ac:dyDescent="0.25">
      <c r="A41" s="1450" t="s">
        <v>290</v>
      </c>
      <c r="B41" s="1445">
        <v>0.18466854384399969</v>
      </c>
      <c r="C41" s="1450">
        <v>148279445.76321828</v>
      </c>
      <c r="D41" s="1445">
        <v>8.3404177986520445E-2</v>
      </c>
      <c r="E41" s="1450">
        <v>160646571.04939634</v>
      </c>
      <c r="F41" s="1450">
        <v>12367125.286178052</v>
      </c>
    </row>
    <row r="42" spans="1:8" x14ac:dyDescent="0.25">
      <c r="A42" s="1450" t="s">
        <v>292</v>
      </c>
      <c r="B42" s="1445">
        <v>5.9088757986425012E-3</v>
      </c>
      <c r="C42" s="1450">
        <v>3617740</v>
      </c>
      <c r="D42" s="1445">
        <v>0.42084284663906191</v>
      </c>
      <c r="E42" s="1450">
        <v>5140240</v>
      </c>
      <c r="F42" s="1450">
        <v>1522500</v>
      </c>
    </row>
    <row r="43" spans="1:8" x14ac:dyDescent="0.25">
      <c r="A43" s="1465" t="s">
        <v>33</v>
      </c>
      <c r="B43" s="1467">
        <v>1</v>
      </c>
      <c r="C43" s="1466">
        <v>766820189.88615143</v>
      </c>
      <c r="D43" s="1468">
        <v>0.13444905156651585</v>
      </c>
      <c r="E43" s="1466">
        <v>869918437.13840008</v>
      </c>
      <c r="F43" s="1466">
        <v>103098247.25224864</v>
      </c>
      <c r="G43" s="1472"/>
      <c r="H43" s="1472"/>
    </row>
    <row r="45" spans="1:8" ht="36" x14ac:dyDescent="0.25">
      <c r="A45" s="1465" t="s">
        <v>236</v>
      </c>
      <c r="B45" s="1465" t="s">
        <v>543</v>
      </c>
      <c r="C45" s="1465" t="s">
        <v>283</v>
      </c>
      <c r="D45" s="1465" t="s">
        <v>544</v>
      </c>
      <c r="E45" s="1465" t="s">
        <v>545</v>
      </c>
      <c r="F45" s="1465" t="s">
        <v>284</v>
      </c>
    </row>
    <row r="46" spans="1:8" x14ac:dyDescent="0.25">
      <c r="A46" s="1450" t="s">
        <v>288</v>
      </c>
      <c r="B46" s="1445">
        <v>0.19659234639088388</v>
      </c>
      <c r="C46" s="1450">
        <v>49735087.29736466</v>
      </c>
      <c r="D46" s="1445">
        <v>7.7900480589699006E-2</v>
      </c>
      <c r="E46" s="1450">
        <v>53609474.5</v>
      </c>
      <c r="F46" s="1450">
        <v>3874387.2026353404</v>
      </c>
    </row>
    <row r="47" spans="1:8" x14ac:dyDescent="0.25">
      <c r="A47" s="1450" t="s">
        <v>289</v>
      </c>
      <c r="B47" s="1445">
        <v>0</v>
      </c>
      <c r="C47" s="1450">
        <v>0</v>
      </c>
      <c r="D47" s="1445">
        <v>0</v>
      </c>
      <c r="E47" s="1450">
        <v>0</v>
      </c>
      <c r="F47" s="1450">
        <v>0</v>
      </c>
    </row>
    <row r="48" spans="1:8" x14ac:dyDescent="0.25">
      <c r="A48" s="1450" t="s">
        <v>291</v>
      </c>
      <c r="B48" s="1445">
        <v>5.3843852758185547E-2</v>
      </c>
      <c r="C48" s="1450">
        <v>14161914.510944631</v>
      </c>
      <c r="D48" s="1445">
        <v>3.6785950702693526E-2</v>
      </c>
      <c r="E48" s="1450">
        <v>14682874</v>
      </c>
      <c r="F48" s="1450">
        <v>520959.48905536905</v>
      </c>
    </row>
    <row r="49" spans="1:10" x14ac:dyDescent="0.25">
      <c r="A49" s="1450" t="s">
        <v>287</v>
      </c>
      <c r="B49" s="1445">
        <v>0.63875764628004117</v>
      </c>
      <c r="C49" s="1450">
        <v>170182898.83953086</v>
      </c>
      <c r="D49" s="1445">
        <v>2.3517184909647826E-2</v>
      </c>
      <c r="E49" s="1450">
        <v>174185121.53999999</v>
      </c>
      <c r="F49" s="1450">
        <v>4002222.7004691362</v>
      </c>
    </row>
    <row r="50" spans="1:10" x14ac:dyDescent="0.25">
      <c r="A50" s="1450" t="s">
        <v>290</v>
      </c>
      <c r="B50" s="1445">
        <v>0.11078231829449497</v>
      </c>
      <c r="C50" s="1450">
        <v>26269242.692521825</v>
      </c>
      <c r="D50" s="1445">
        <v>0.14999999999999991</v>
      </c>
      <c r="E50" s="1450">
        <v>30209629.096400097</v>
      </c>
      <c r="F50" s="1450">
        <v>3940386.4038782716</v>
      </c>
    </row>
    <row r="51" spans="1:10" x14ac:dyDescent="0.25">
      <c r="A51" s="1450" t="s">
        <v>292</v>
      </c>
      <c r="B51" s="1445">
        <v>2.3836276394403851E-5</v>
      </c>
      <c r="C51" s="1450">
        <v>6500</v>
      </c>
      <c r="D51" s="1445">
        <v>0</v>
      </c>
      <c r="E51" s="1450">
        <v>6500</v>
      </c>
      <c r="F51" s="1450">
        <v>0</v>
      </c>
    </row>
    <row r="52" spans="1:10" x14ac:dyDescent="0.25">
      <c r="A52" s="1465" t="s">
        <v>33</v>
      </c>
      <c r="B52" s="1467">
        <v>0.99999999999999989</v>
      </c>
      <c r="C52" s="1466">
        <v>260355643.34036195</v>
      </c>
      <c r="D52" s="1468">
        <v>4.7388854866912904E-2</v>
      </c>
      <c r="E52" s="1466">
        <v>272693599.1364001</v>
      </c>
      <c r="F52" s="1466">
        <v>12337955.796038151</v>
      </c>
      <c r="G52" s="1472"/>
      <c r="H52" s="1472"/>
    </row>
    <row r="54" spans="1:10" ht="36" x14ac:dyDescent="0.25">
      <c r="A54" s="1465" t="s">
        <v>237</v>
      </c>
      <c r="B54" s="1465" t="s">
        <v>543</v>
      </c>
      <c r="C54" s="1465" t="s">
        <v>283</v>
      </c>
      <c r="D54" s="1465" t="s">
        <v>544</v>
      </c>
      <c r="E54" s="1465" t="s">
        <v>545</v>
      </c>
      <c r="F54" s="1465" t="s">
        <v>284</v>
      </c>
    </row>
    <row r="55" spans="1:10" x14ac:dyDescent="0.25">
      <c r="A55" s="1450" t="s">
        <v>288</v>
      </c>
      <c r="B55" s="1445">
        <v>0.3151726691692554</v>
      </c>
      <c r="C55" s="1450">
        <v>133256449.00796205</v>
      </c>
      <c r="D55" s="1445">
        <v>0.24275426242301146</v>
      </c>
      <c r="E55" s="1450">
        <v>165605019.99999952</v>
      </c>
      <c r="F55" s="1450">
        <v>32348570.992037475</v>
      </c>
    </row>
    <row r="56" spans="1:10" x14ac:dyDescent="0.25">
      <c r="A56" s="1450" t="s">
        <v>289</v>
      </c>
      <c r="B56" s="1445">
        <v>0</v>
      </c>
      <c r="C56" s="1450">
        <v>0</v>
      </c>
      <c r="D56" s="1445">
        <v>0</v>
      </c>
      <c r="E56" s="1450">
        <v>0</v>
      </c>
      <c r="F56" s="1450">
        <v>0</v>
      </c>
      <c r="I56" s="1481"/>
      <c r="J56" s="1451"/>
    </row>
    <row r="57" spans="1:10" x14ac:dyDescent="0.25">
      <c r="A57" s="1450" t="s">
        <v>291</v>
      </c>
      <c r="B57" s="1445">
        <v>7.8323574631131682E-2</v>
      </c>
      <c r="C57" s="1450">
        <v>40322121.820591457</v>
      </c>
      <c r="D57" s="1445">
        <v>2.0643491508511413E-2</v>
      </c>
      <c r="E57" s="1450">
        <v>41154511.200000003</v>
      </c>
      <c r="F57" s="1450">
        <v>832389.37940854579</v>
      </c>
      <c r="I57" s="1481"/>
      <c r="J57" s="1446"/>
    </row>
    <row r="58" spans="1:10" x14ac:dyDescent="0.25">
      <c r="A58" s="1450" t="s">
        <v>287</v>
      </c>
      <c r="B58" s="1445">
        <v>0.20618099101500373</v>
      </c>
      <c r="C58" s="1450">
        <v>96348645.473422751</v>
      </c>
      <c r="D58" s="1445">
        <v>0.12441843419463483</v>
      </c>
      <c r="E58" s="1450">
        <v>108336193.08</v>
      </c>
      <c r="F58" s="1450">
        <v>11987547.606577247</v>
      </c>
      <c r="G58" s="1480"/>
      <c r="H58" s="1480"/>
      <c r="I58" s="1481"/>
    </row>
    <row r="59" spans="1:10" x14ac:dyDescent="0.25">
      <c r="A59" s="1450" t="s">
        <v>290</v>
      </c>
      <c r="B59" s="1445">
        <v>0.39841403002012005</v>
      </c>
      <c r="C59" s="1450">
        <v>162867356.05953741</v>
      </c>
      <c r="D59" s="1445">
        <v>0.28536220311375882</v>
      </c>
      <c r="E59" s="1450">
        <v>209343543.59999999</v>
      </c>
      <c r="F59" s="1450">
        <v>46476187.540462583</v>
      </c>
      <c r="G59" s="1480"/>
      <c r="H59" s="1480"/>
    </row>
    <row r="60" spans="1:10" x14ac:dyDescent="0.25">
      <c r="A60" s="1450" t="s">
        <v>292</v>
      </c>
      <c r="B60" s="1445">
        <v>1.9087351644891093E-3</v>
      </c>
      <c r="C60" s="1450">
        <v>822930</v>
      </c>
      <c r="D60" s="1445">
        <v>0.21873063322518327</v>
      </c>
      <c r="E60" s="1450">
        <v>1002930</v>
      </c>
      <c r="F60" s="1450">
        <v>180000</v>
      </c>
    </row>
    <row r="61" spans="1:10" x14ac:dyDescent="0.25">
      <c r="A61" s="1465" t="s">
        <v>33</v>
      </c>
      <c r="B61" s="1467">
        <v>1</v>
      </c>
      <c r="C61" s="1466">
        <v>433617502.36151367</v>
      </c>
      <c r="D61" s="1468">
        <v>0.21176427385518715</v>
      </c>
      <c r="E61" s="1466">
        <v>525442197.87999952</v>
      </c>
      <c r="F61" s="1466">
        <v>91824695.518485844</v>
      </c>
      <c r="G61" s="1472"/>
      <c r="H61" s="1472"/>
    </row>
    <row r="62" spans="1:10" x14ac:dyDescent="0.25">
      <c r="A62" s="1473"/>
      <c r="B62" s="1474"/>
      <c r="C62" s="1475"/>
      <c r="D62" s="1476"/>
      <c r="E62" s="1475"/>
      <c r="F62" s="1475"/>
      <c r="G62" s="1477"/>
      <c r="H62" s="1477"/>
      <c r="I62" s="1478"/>
      <c r="J62" s="1461"/>
    </row>
    <row r="63" spans="1:10" ht="36" x14ac:dyDescent="0.25">
      <c r="A63" s="1465" t="s">
        <v>444</v>
      </c>
      <c r="B63" s="1465" t="s">
        <v>543</v>
      </c>
      <c r="C63" s="1465" t="s">
        <v>283</v>
      </c>
      <c r="D63" s="1465" t="s">
        <v>544</v>
      </c>
      <c r="E63" s="1465" t="s">
        <v>545</v>
      </c>
      <c r="F63" s="1465" t="s">
        <v>284</v>
      </c>
      <c r="G63" s="1477"/>
      <c r="H63" s="1477"/>
      <c r="I63" s="1478"/>
      <c r="J63" s="1461"/>
    </row>
    <row r="64" spans="1:10" x14ac:dyDescent="0.25">
      <c r="A64" s="1450" t="s">
        <v>288</v>
      </c>
      <c r="B64" s="1445">
        <v>0.11700857326724404</v>
      </c>
      <c r="C64" s="1450">
        <v>52914069.221227087</v>
      </c>
      <c r="D64" s="1445">
        <v>0.28736111402056119</v>
      </c>
      <c r="E64" s="1450">
        <v>68119515.099999994</v>
      </c>
      <c r="F64" s="1450">
        <v>15205445.878772907</v>
      </c>
      <c r="G64" s="1477"/>
      <c r="H64" s="1477"/>
      <c r="I64" s="1478"/>
      <c r="J64" s="1461"/>
    </row>
    <row r="65" spans="1:10" x14ac:dyDescent="0.25">
      <c r="A65" s="1450" t="s">
        <v>289</v>
      </c>
      <c r="B65" s="1445">
        <v>0.80494899718686874</v>
      </c>
      <c r="C65" s="1450">
        <v>445421976.59692448</v>
      </c>
      <c r="D65" s="1445">
        <v>5.2084414020885816E-2</v>
      </c>
      <c r="E65" s="1450">
        <v>468621519.24000001</v>
      </c>
      <c r="F65" s="1450">
        <v>23199542.643075526</v>
      </c>
      <c r="G65" s="1477"/>
      <c r="H65" s="1477"/>
      <c r="I65" s="1478"/>
      <c r="J65" s="1461"/>
    </row>
    <row r="66" spans="1:10" x14ac:dyDescent="0.25">
      <c r="A66" s="1450" t="s">
        <v>291</v>
      </c>
      <c r="B66" s="1445">
        <v>3.8197909722027905E-2</v>
      </c>
      <c r="C66" s="1450">
        <v>16472345.483679119</v>
      </c>
      <c r="D66" s="1445">
        <v>0.35001321439217015</v>
      </c>
      <c r="E66" s="1450">
        <v>22237884.074999996</v>
      </c>
      <c r="F66" s="1450">
        <v>5765538.591320876</v>
      </c>
      <c r="G66" s="1477"/>
      <c r="H66" s="1477"/>
      <c r="I66" s="1478"/>
      <c r="J66" s="1461"/>
    </row>
    <row r="67" spans="1:10" x14ac:dyDescent="0.25">
      <c r="A67" s="1450" t="s">
        <v>287</v>
      </c>
      <c r="B67" s="1445">
        <v>2.5791408783420264E-2</v>
      </c>
      <c r="C67" s="1450">
        <v>14192521.372601612</v>
      </c>
      <c r="D67" s="1445">
        <v>5.7960302176215839E-2</v>
      </c>
      <c r="E67" s="1450">
        <v>15015124.200000001</v>
      </c>
      <c r="F67" s="1450">
        <v>822602.82739838958</v>
      </c>
      <c r="G67" s="1477"/>
      <c r="H67" s="1477"/>
      <c r="I67" s="1478"/>
      <c r="J67" s="1461"/>
    </row>
    <row r="68" spans="1:10" x14ac:dyDescent="0.25">
      <c r="A68" s="1450" t="s">
        <v>290</v>
      </c>
      <c r="B68" s="1445">
        <v>1.4053111040438946E-2</v>
      </c>
      <c r="C68" s="1450">
        <v>6012197.4608093295</v>
      </c>
      <c r="D68" s="1445">
        <v>0.36079625683130301</v>
      </c>
      <c r="E68" s="1450">
        <v>8181375.8000000007</v>
      </c>
      <c r="F68" s="1450">
        <v>2169178.3391906712</v>
      </c>
      <c r="G68" s="1477"/>
      <c r="H68" s="1477"/>
      <c r="I68" s="1478"/>
      <c r="J68" s="1461"/>
    </row>
    <row r="69" spans="1:10" x14ac:dyDescent="0.25">
      <c r="A69" s="1450" t="s">
        <v>292</v>
      </c>
      <c r="B69" s="1445">
        <v>0</v>
      </c>
      <c r="C69" s="1450">
        <v>0</v>
      </c>
      <c r="D69" s="1445">
        <v>0</v>
      </c>
      <c r="E69" s="1450">
        <v>0</v>
      </c>
      <c r="F69" s="1450">
        <v>0</v>
      </c>
      <c r="G69" s="1477"/>
      <c r="H69" s="1477"/>
      <c r="I69" s="1478"/>
      <c r="J69" s="1461"/>
    </row>
    <row r="70" spans="1:10" x14ac:dyDescent="0.25">
      <c r="A70" s="1465" t="s">
        <v>33</v>
      </c>
      <c r="B70" s="1467">
        <v>0.99999999999999978</v>
      </c>
      <c r="C70" s="1466">
        <v>535013110.13524169</v>
      </c>
      <c r="D70" s="1468">
        <v>8.8151687101343384E-2</v>
      </c>
      <c r="E70" s="1466">
        <v>582175418.41500008</v>
      </c>
      <c r="F70" s="1466">
        <v>47162308.279758394</v>
      </c>
      <c r="G70" s="1477"/>
      <c r="H70" s="1477"/>
      <c r="I70" s="1478"/>
      <c r="J70" s="1461"/>
    </row>
    <row r="71" spans="1:10" x14ac:dyDescent="0.25">
      <c r="D71" s="1455"/>
      <c r="G71" s="1477"/>
      <c r="H71" s="1477"/>
      <c r="I71" s="1478"/>
      <c r="J71" s="1461"/>
    </row>
    <row r="72" spans="1:10" ht="36" x14ac:dyDescent="0.25">
      <c r="A72" s="1465" t="s">
        <v>445</v>
      </c>
      <c r="B72" s="1465" t="s">
        <v>543</v>
      </c>
      <c r="C72" s="1465" t="s">
        <v>283</v>
      </c>
      <c r="D72" s="1465" t="s">
        <v>544</v>
      </c>
      <c r="E72" s="1465" t="s">
        <v>545</v>
      </c>
      <c r="F72" s="1465" t="s">
        <v>284</v>
      </c>
      <c r="G72" s="1477"/>
      <c r="H72" s="1477"/>
      <c r="I72" s="1478"/>
      <c r="J72" s="1461"/>
    </row>
    <row r="73" spans="1:10" x14ac:dyDescent="0.25">
      <c r="A73" s="1450" t="s">
        <v>288</v>
      </c>
      <c r="B73" s="1445">
        <v>0.50980962188545909</v>
      </c>
      <c r="C73" s="1450">
        <v>37720556.356527708</v>
      </c>
      <c r="D73" s="1445">
        <v>0.28253950691339558</v>
      </c>
      <c r="E73" s="1450">
        <v>48378103.75</v>
      </c>
      <c r="F73" s="1450">
        <v>10657547.393472292</v>
      </c>
      <c r="G73" s="1477"/>
      <c r="H73" s="1477"/>
      <c r="I73" s="1478"/>
      <c r="J73" s="1461"/>
    </row>
    <row r="74" spans="1:10" x14ac:dyDescent="0.25">
      <c r="A74" s="1450" t="s">
        <v>289</v>
      </c>
      <c r="B74" s="1445">
        <v>0</v>
      </c>
      <c r="C74" s="1450">
        <v>0</v>
      </c>
      <c r="D74" s="1445">
        <v>0</v>
      </c>
      <c r="E74" s="1450">
        <v>0</v>
      </c>
      <c r="F74" s="1450">
        <v>0</v>
      </c>
      <c r="G74" s="1477"/>
      <c r="H74" s="1477"/>
      <c r="I74" s="1478"/>
      <c r="J74" s="1461"/>
    </row>
    <row r="75" spans="1:10" x14ac:dyDescent="0.25">
      <c r="A75" s="1450" t="s">
        <v>291</v>
      </c>
      <c r="B75" s="1445">
        <v>0.2873101804889906</v>
      </c>
      <c r="C75" s="1450">
        <v>21355346.229020622</v>
      </c>
      <c r="D75" s="1445">
        <v>0.27668927994010617</v>
      </c>
      <c r="E75" s="1450">
        <v>27264141.599999998</v>
      </c>
      <c r="F75" s="1450">
        <v>5908795.3709793761</v>
      </c>
      <c r="G75" s="1477"/>
      <c r="H75" s="1477"/>
      <c r="I75" s="1478"/>
      <c r="J75" s="1461"/>
    </row>
    <row r="76" spans="1:10" x14ac:dyDescent="0.25">
      <c r="A76" s="1450" t="s">
        <v>287</v>
      </c>
      <c r="B76" s="1445">
        <v>2.1367749081161642E-2</v>
      </c>
      <c r="C76" s="1450">
        <v>1622874</v>
      </c>
      <c r="D76" s="1445">
        <v>0.24943821886357154</v>
      </c>
      <c r="E76" s="1450">
        <v>2027680.7999999998</v>
      </c>
      <c r="F76" s="1450">
        <v>404806.79999999981</v>
      </c>
      <c r="G76" s="1477"/>
      <c r="H76" s="1477"/>
      <c r="I76" s="1478"/>
      <c r="J76" s="1461"/>
    </row>
    <row r="77" spans="1:10" x14ac:dyDescent="0.25">
      <c r="A77" s="1450" t="s">
        <v>290</v>
      </c>
      <c r="B77" s="1445">
        <v>0.18151244854438886</v>
      </c>
      <c r="C77" s="1450">
        <v>11568709.710544489</v>
      </c>
      <c r="D77" s="1445">
        <v>0.48888894535060889</v>
      </c>
      <c r="E77" s="1450">
        <v>17224523.999999933</v>
      </c>
      <c r="F77" s="1450">
        <v>5655814.2894554436</v>
      </c>
      <c r="G77" s="1477"/>
      <c r="H77" s="1477"/>
      <c r="I77" s="1479"/>
      <c r="J77" s="1448"/>
    </row>
    <row r="78" spans="1:10" x14ac:dyDescent="0.25">
      <c r="A78" s="1450" t="s">
        <v>292</v>
      </c>
      <c r="B78" s="1445">
        <v>0</v>
      </c>
      <c r="C78" s="1450">
        <v>0</v>
      </c>
      <c r="D78" s="1445">
        <v>0</v>
      </c>
      <c r="E78" s="1450">
        <v>0</v>
      </c>
      <c r="F78" s="1450">
        <v>0</v>
      </c>
      <c r="G78" s="1477"/>
      <c r="H78" s="1477"/>
      <c r="I78" s="1478"/>
      <c r="J78" s="1461"/>
    </row>
    <row r="79" spans="1:10" x14ac:dyDescent="0.25">
      <c r="A79" s="1465" t="s">
        <v>33</v>
      </c>
      <c r="B79" s="1467">
        <v>1.0000000000000002</v>
      </c>
      <c r="C79" s="1466">
        <v>72267486.296092808</v>
      </c>
      <c r="D79" s="1468">
        <v>0.31310019226627578</v>
      </c>
      <c r="E79" s="1466">
        <v>94894450.149999917</v>
      </c>
      <c r="F79" s="1466">
        <v>22626963.853907108</v>
      </c>
      <c r="G79" s="1477"/>
      <c r="H79" s="1477"/>
      <c r="I79" s="1478"/>
      <c r="J79" s="1461"/>
    </row>
    <row r="80" spans="1:10" x14ac:dyDescent="0.25">
      <c r="A80" s="1473"/>
      <c r="B80" s="1474"/>
      <c r="C80" s="1475"/>
      <c r="D80" s="1476"/>
      <c r="E80" s="1475"/>
      <c r="F80" s="1475"/>
      <c r="G80" s="1477"/>
      <c r="H80" s="1477"/>
      <c r="I80" s="1478"/>
      <c r="J80" s="1461"/>
    </row>
    <row r="81" spans="1:6" x14ac:dyDescent="0.25">
      <c r="B81" s="1444"/>
      <c r="C81" s="1464">
        <v>4150000000.0000005</v>
      </c>
      <c r="D81" s="1444"/>
      <c r="E81" s="1464">
        <v>4643999999.5888014</v>
      </c>
      <c r="F81" s="1464">
        <v>493999999.58880091</v>
      </c>
    </row>
    <row r="82" spans="1:6" x14ac:dyDescent="0.25">
      <c r="E82" s="1441"/>
      <c r="F82" s="1451"/>
    </row>
    <row r="83" spans="1:6" ht="36" x14ac:dyDescent="0.25">
      <c r="A83" s="1465" t="s">
        <v>261</v>
      </c>
      <c r="B83" s="1465" t="s">
        <v>260</v>
      </c>
      <c r="C83" s="1465" t="s">
        <v>285</v>
      </c>
      <c r="D83" s="1465" t="s">
        <v>286</v>
      </c>
      <c r="E83" s="1465" t="s">
        <v>546</v>
      </c>
      <c r="F83" s="1465" t="s">
        <v>284</v>
      </c>
    </row>
    <row r="84" spans="1:6" x14ac:dyDescent="0.25">
      <c r="A84" s="1450" t="s">
        <v>262</v>
      </c>
      <c r="B84" s="1460">
        <v>0.29212632215881179</v>
      </c>
      <c r="C84" s="1450">
        <v>1356634639.9854</v>
      </c>
      <c r="D84" s="1450">
        <v>1243969409.7028658</v>
      </c>
      <c r="E84" s="1460">
        <v>5.4996909134498666E-2</v>
      </c>
      <c r="F84" s="1450">
        <v>112665230.28253412</v>
      </c>
    </row>
    <row r="85" spans="1:6" x14ac:dyDescent="0.25">
      <c r="A85" s="1450" t="s">
        <v>233</v>
      </c>
      <c r="B85" s="1460">
        <v>3.2489437970980875E-2</v>
      </c>
      <c r="C85" s="1450">
        <v>150880949.92387557</v>
      </c>
      <c r="D85" s="1450">
        <v>120700281.00963129</v>
      </c>
      <c r="E85" s="1460">
        <v>0.19732181668624338</v>
      </c>
      <c r="F85" s="1450">
        <v>30180668.914244279</v>
      </c>
    </row>
    <row r="86" spans="1:6" x14ac:dyDescent="0.25">
      <c r="A86" s="1450" t="s">
        <v>234</v>
      </c>
      <c r="B86" s="1460">
        <v>0.17040488954129976</v>
      </c>
      <c r="C86" s="1450">
        <v>791360306.95972586</v>
      </c>
      <c r="D86" s="1450">
        <v>717256377.26814187</v>
      </c>
      <c r="E86" s="1460">
        <v>8.9803209384328717E-2</v>
      </c>
      <c r="F86" s="1450">
        <v>74103929.691583991</v>
      </c>
    </row>
    <row r="87" spans="1:6" x14ac:dyDescent="0.25">
      <c r="A87" s="1450" t="s">
        <v>235</v>
      </c>
      <c r="B87" s="1460">
        <v>0.18732093824621579</v>
      </c>
      <c r="C87" s="1450">
        <v>869918437.13840008</v>
      </c>
      <c r="D87" s="1450">
        <v>766820189.88615143</v>
      </c>
      <c r="E87" s="1460">
        <v>7.7334055042173083E-2</v>
      </c>
      <c r="F87" s="1450">
        <v>103098247.25224864</v>
      </c>
    </row>
    <row r="88" spans="1:6" x14ac:dyDescent="0.25">
      <c r="A88" s="1450" t="s">
        <v>236</v>
      </c>
      <c r="B88" s="1460">
        <v>5.8719551929488696E-2</v>
      </c>
      <c r="C88" s="1450">
        <v>272693599.1364001</v>
      </c>
      <c r="D88" s="1450">
        <v>260355643.34036195</v>
      </c>
      <c r="E88" s="1460">
        <v>4.7414945861418457E-2</v>
      </c>
      <c r="F88" s="1450">
        <v>12337955.796038151</v>
      </c>
    </row>
    <row r="89" spans="1:6" x14ac:dyDescent="0.25">
      <c r="A89" s="1450" t="s">
        <v>237</v>
      </c>
      <c r="B89" s="1460">
        <v>0.11314431479899317</v>
      </c>
      <c r="C89" s="1450">
        <v>525442197.87999952</v>
      </c>
      <c r="D89" s="1450">
        <v>433617502.36151367</v>
      </c>
      <c r="E89" s="1460">
        <v>0.12908030422647479</v>
      </c>
      <c r="F89" s="1450">
        <v>91824695.518485844</v>
      </c>
    </row>
    <row r="90" spans="1:6" x14ac:dyDescent="0.25">
      <c r="A90" s="1450" t="s">
        <v>444</v>
      </c>
      <c r="B90" s="1460">
        <v>0.1253607705569656</v>
      </c>
      <c r="C90" s="1450">
        <v>582175418.41500008</v>
      </c>
      <c r="D90" s="1450">
        <v>535013110.13524169</v>
      </c>
      <c r="E90" s="1460">
        <v>5.3267253220101778E-2</v>
      </c>
      <c r="F90" s="1450">
        <v>47162308.279758394</v>
      </c>
    </row>
    <row r="91" spans="1:6" x14ac:dyDescent="0.25">
      <c r="A91" s="1450" t="s">
        <v>445</v>
      </c>
      <c r="B91" s="1460">
        <v>2.0433774797244241E-2</v>
      </c>
      <c r="C91" s="1450">
        <v>94894450.149999917</v>
      </c>
      <c r="D91" s="1450">
        <v>72267486.296092808</v>
      </c>
      <c r="E91" s="1460">
        <v>0.25452254594131168</v>
      </c>
      <c r="F91" s="1450">
        <v>22626963.853907108</v>
      </c>
    </row>
    <row r="92" spans="1:6" x14ac:dyDescent="0.25">
      <c r="A92" s="1465" t="s">
        <v>33</v>
      </c>
      <c r="B92" s="1469">
        <v>0.99999999999999989</v>
      </c>
      <c r="C92" s="1466">
        <v>4643999999.5888014</v>
      </c>
      <c r="D92" s="1466">
        <v>4150000000.0000005</v>
      </c>
      <c r="E92" s="1468">
        <v>7.9999999904371968E-2</v>
      </c>
      <c r="F92" s="1466">
        <v>493999999.58880091</v>
      </c>
    </row>
    <row r="95" spans="1:6" ht="36" x14ac:dyDescent="0.25">
      <c r="A95" s="1465" t="s">
        <v>547</v>
      </c>
      <c r="B95" s="1465" t="s">
        <v>543</v>
      </c>
      <c r="C95" s="1465" t="s">
        <v>285</v>
      </c>
      <c r="D95" s="1465" t="s">
        <v>286</v>
      </c>
      <c r="E95" s="1465" t="s">
        <v>546</v>
      </c>
      <c r="F95" s="1465" t="s">
        <v>284</v>
      </c>
    </row>
    <row r="96" spans="1:6" x14ac:dyDescent="0.25">
      <c r="A96" s="1450" t="s">
        <v>287</v>
      </c>
      <c r="B96" s="1460">
        <v>0.32550932873653127</v>
      </c>
      <c r="C96" s="1450">
        <v>1511665322.5186019</v>
      </c>
      <c r="D96" s="1450">
        <v>1442176884.7236288</v>
      </c>
      <c r="E96" s="1460">
        <v>2.0206617587802168E-2</v>
      </c>
      <c r="F96" s="1450">
        <v>69488437.794973135</v>
      </c>
    </row>
    <row r="97" spans="1:10" x14ac:dyDescent="0.25">
      <c r="A97" s="1450" t="s">
        <v>288</v>
      </c>
      <c r="B97" s="1460">
        <v>0.26966001404675422</v>
      </c>
      <c r="C97" s="1450">
        <v>1252301105.1222425</v>
      </c>
      <c r="D97" s="1450">
        <v>1029021413.604634</v>
      </c>
      <c r="E97" s="1460">
        <v>0.18625728648698422</v>
      </c>
      <c r="F97" s="1450">
        <v>223279691.5176084</v>
      </c>
    </row>
    <row r="98" spans="1:10" x14ac:dyDescent="0.25">
      <c r="A98" s="1450" t="s">
        <v>289</v>
      </c>
      <c r="B98" s="1460">
        <v>0.21405565029324281</v>
      </c>
      <c r="C98" s="1450">
        <v>994074439.87380004</v>
      </c>
      <c r="D98" s="1450">
        <v>933671803.22576833</v>
      </c>
      <c r="E98" s="1460">
        <v>1.999999999999998E-2</v>
      </c>
      <c r="F98" s="1450">
        <v>60402636.648031712</v>
      </c>
    </row>
    <row r="99" spans="1:10" x14ac:dyDescent="0.25">
      <c r="A99" s="1450" t="s">
        <v>290</v>
      </c>
      <c r="B99" s="1460">
        <v>0.12525868294588646</v>
      </c>
      <c r="C99" s="1450">
        <v>581701323.5491904</v>
      </c>
      <c r="D99" s="1450">
        <v>480811987.1031754</v>
      </c>
      <c r="E99" s="1460">
        <v>0.12373716471334416</v>
      </c>
      <c r="F99" s="1450">
        <v>100889336.446015</v>
      </c>
    </row>
    <row r="100" spans="1:10" x14ac:dyDescent="0.25">
      <c r="A100" s="1450" t="s">
        <v>291</v>
      </c>
      <c r="B100" s="1460">
        <v>6.3877750549360901E-2</v>
      </c>
      <c r="C100" s="1450">
        <v>296648273.52496552</v>
      </c>
      <c r="D100" s="1450">
        <v>250941845.34279385</v>
      </c>
      <c r="E100" s="1460">
        <v>0.15354441123291443</v>
      </c>
      <c r="F100" s="1450">
        <v>45706428.182171673</v>
      </c>
    </row>
    <row r="101" spans="1:10" x14ac:dyDescent="0.25">
      <c r="A101" s="1450" t="s">
        <v>292</v>
      </c>
      <c r="B101" s="1460">
        <v>1.6385734282243283E-3</v>
      </c>
      <c r="C101" s="1450">
        <v>7609535</v>
      </c>
      <c r="D101" s="1450">
        <v>13376066</v>
      </c>
      <c r="E101" s="1460">
        <v>-0.49569553566615759</v>
      </c>
      <c r="F101" s="1450">
        <v>-5766531</v>
      </c>
    </row>
    <row r="102" spans="1:10" x14ac:dyDescent="0.25">
      <c r="A102" s="1465" t="s">
        <v>33</v>
      </c>
      <c r="B102" s="1468">
        <v>1</v>
      </c>
      <c r="C102" s="1466">
        <v>4643999999.5888004</v>
      </c>
      <c r="D102" s="1466">
        <v>4150000000.0000005</v>
      </c>
      <c r="E102" s="1468">
        <v>7.9999999904371968E-2</v>
      </c>
      <c r="F102" s="1466">
        <v>493999999.58879995</v>
      </c>
    </row>
    <row r="103" spans="1:10" x14ac:dyDescent="0.25">
      <c r="C103" s="1470">
        <v>2017</v>
      </c>
      <c r="D103" s="1466">
        <v>3421636824.2000003</v>
      </c>
      <c r="E103" s="1468">
        <v>0.35724515434936471</v>
      </c>
      <c r="F103" s="1466">
        <v>1222363175.3888001</v>
      </c>
    </row>
    <row r="104" spans="1:10" x14ac:dyDescent="0.25">
      <c r="C104" s="1470">
        <v>2016</v>
      </c>
      <c r="D104" s="1466">
        <v>4067951990.4399996</v>
      </c>
      <c r="E104" s="1468">
        <v>0.14160639321765769</v>
      </c>
      <c r="F104" s="1466">
        <v>576048009.14880085</v>
      </c>
    </row>
    <row r="106" spans="1:10" hidden="1" x14ac:dyDescent="0.25">
      <c r="A106" s="1465" t="s">
        <v>250</v>
      </c>
      <c r="B106" s="1465" t="s">
        <v>285</v>
      </c>
      <c r="C106" s="1465" t="s">
        <v>293</v>
      </c>
      <c r="D106" s="1458"/>
      <c r="E106" s="1451"/>
    </row>
    <row r="107" spans="1:10" hidden="1" x14ac:dyDescent="0.25">
      <c r="A107" s="1454">
        <v>43466</v>
      </c>
      <c r="B107" s="1450">
        <v>361588548.69213241</v>
      </c>
      <c r="C107" s="1450">
        <v>660500</v>
      </c>
      <c r="D107" s="1452"/>
      <c r="E107" s="1447"/>
      <c r="F107" s="1444"/>
      <c r="J107" s="1471"/>
    </row>
    <row r="108" spans="1:10" hidden="1" x14ac:dyDescent="0.25">
      <c r="A108" s="1454">
        <v>43497</v>
      </c>
      <c r="B108" s="1450">
        <v>348430197.10485208</v>
      </c>
      <c r="C108" s="1450">
        <v>652600</v>
      </c>
      <c r="D108" s="1452"/>
      <c r="E108" s="1447"/>
      <c r="F108" s="1444"/>
      <c r="J108" s="1471"/>
    </row>
    <row r="109" spans="1:10" hidden="1" x14ac:dyDescent="0.25">
      <c r="A109" s="1454">
        <v>43525</v>
      </c>
      <c r="B109" s="1450">
        <v>396727866.34019715</v>
      </c>
      <c r="C109" s="1450">
        <v>639000.44293819601</v>
      </c>
      <c r="D109" s="1452"/>
      <c r="E109" s="1447"/>
      <c r="F109" s="1444"/>
      <c r="J109" s="1471"/>
    </row>
    <row r="110" spans="1:10" hidden="1" x14ac:dyDescent="0.25">
      <c r="A110" s="1454">
        <v>43556</v>
      </c>
      <c r="B110" s="1450">
        <v>384135225.55696189</v>
      </c>
      <c r="C110" s="1450">
        <v>820000</v>
      </c>
      <c r="D110" s="1462"/>
      <c r="E110" s="1447"/>
      <c r="F110" s="1444"/>
      <c r="J110" s="1471"/>
    </row>
    <row r="111" spans="1:10" hidden="1" x14ac:dyDescent="0.25">
      <c r="A111" s="1454">
        <v>43586</v>
      </c>
      <c r="B111" s="1450">
        <v>384285654.74126607</v>
      </c>
      <c r="C111" s="1450">
        <v>853000</v>
      </c>
      <c r="D111" s="1462"/>
      <c r="E111" s="1447"/>
      <c r="F111" s="1444"/>
      <c r="J111" s="1471"/>
    </row>
    <row r="112" spans="1:10" hidden="1" x14ac:dyDescent="0.25">
      <c r="A112" s="1454">
        <v>43617</v>
      </c>
      <c r="B112" s="1450">
        <v>388834188.4707039</v>
      </c>
      <c r="C112" s="1450">
        <v>990000</v>
      </c>
      <c r="D112" s="1462"/>
      <c r="E112" s="1447"/>
      <c r="F112" s="1444"/>
      <c r="G112" s="1444"/>
      <c r="H112" s="1444"/>
      <c r="J112" s="1471"/>
    </row>
    <row r="113" spans="1:10" hidden="1" x14ac:dyDescent="0.25">
      <c r="A113" s="1454">
        <v>43647</v>
      </c>
      <c r="B113" s="1450">
        <v>383850061.819399</v>
      </c>
      <c r="C113" s="1450">
        <v>832000</v>
      </c>
      <c r="D113" s="1452"/>
      <c r="E113" s="1447"/>
      <c r="F113" s="1444"/>
      <c r="G113" s="1444"/>
      <c r="H113" s="1444"/>
      <c r="J113" s="1471"/>
    </row>
    <row r="114" spans="1:10" hidden="1" x14ac:dyDescent="0.25">
      <c r="A114" s="1454">
        <v>43678</v>
      </c>
      <c r="B114" s="1450">
        <v>402747290.02664143</v>
      </c>
      <c r="C114" s="1450">
        <v>944000</v>
      </c>
      <c r="D114" s="1462"/>
      <c r="E114" s="1447"/>
      <c r="F114" s="1444"/>
      <c r="G114" s="1444"/>
      <c r="H114" s="1444"/>
      <c r="J114" s="1471"/>
    </row>
    <row r="115" spans="1:10" hidden="1" x14ac:dyDescent="0.25">
      <c r="A115" s="1454">
        <v>43709</v>
      </c>
      <c r="B115" s="1450">
        <v>406776935.56741828</v>
      </c>
      <c r="C115" s="1450">
        <v>876499.99999999965</v>
      </c>
      <c r="D115" s="1462"/>
      <c r="E115" s="1447"/>
      <c r="F115" s="1444"/>
      <c r="G115" s="1444"/>
      <c r="H115" s="1444"/>
      <c r="J115" s="1471"/>
    </row>
    <row r="116" spans="1:10" hidden="1" x14ac:dyDescent="0.25">
      <c r="A116" s="1454">
        <v>43739</v>
      </c>
      <c r="B116" s="1450">
        <v>425156737.24906641</v>
      </c>
      <c r="C116" s="1450">
        <v>928850.02429033699</v>
      </c>
      <c r="D116" s="1462"/>
      <c r="E116" s="1447"/>
      <c r="F116" s="1444"/>
      <c r="G116" s="1444"/>
      <c r="H116" s="1444"/>
      <c r="J116" s="1471"/>
    </row>
    <row r="117" spans="1:10" hidden="1" x14ac:dyDescent="0.25">
      <c r="A117" s="1454">
        <v>43770</v>
      </c>
      <c r="B117" s="1450">
        <v>407580652.55099303</v>
      </c>
      <c r="C117" s="1450">
        <v>853550</v>
      </c>
      <c r="D117" s="1462"/>
      <c r="E117" s="1447"/>
      <c r="F117" s="1444"/>
      <c r="G117" s="1444"/>
      <c r="H117" s="1444"/>
      <c r="J117" s="1471"/>
    </row>
    <row r="118" spans="1:10" hidden="1" x14ac:dyDescent="0.25">
      <c r="A118" s="1454">
        <v>43800</v>
      </c>
      <c r="B118" s="1450">
        <v>353886641.98137164</v>
      </c>
      <c r="C118" s="1450">
        <v>950000</v>
      </c>
      <c r="D118" s="1462"/>
      <c r="E118" s="1447"/>
      <c r="F118" s="1444"/>
      <c r="G118" s="1444"/>
      <c r="H118" s="1444"/>
      <c r="J118" s="1471"/>
    </row>
    <row r="119" spans="1:10" hidden="1" x14ac:dyDescent="0.25">
      <c r="A119" s="1465" t="s">
        <v>33</v>
      </c>
      <c r="B119" s="1466">
        <v>4644000000.1010027</v>
      </c>
      <c r="C119" s="1466">
        <v>10000000.467228532</v>
      </c>
      <c r="D119" s="1452"/>
      <c r="E119" s="1447"/>
      <c r="F119" s="1441"/>
      <c r="G119" s="1444"/>
      <c r="H119" s="1444"/>
      <c r="J119" s="1471"/>
    </row>
    <row r="120" spans="1:10" hidden="1" x14ac:dyDescent="0.25">
      <c r="A120" s="1465" t="s">
        <v>294</v>
      </c>
      <c r="B120" s="1466">
        <v>35000000</v>
      </c>
      <c r="C120" s="1451">
        <v>4689000000.5682297</v>
      </c>
      <c r="D120" s="1462"/>
      <c r="E120" s="1447"/>
      <c r="F120" s="1456"/>
      <c r="J120" s="1471"/>
    </row>
    <row r="121" spans="1:10" hidden="1" x14ac:dyDescent="0.25"/>
    <row r="122" spans="1:10" hidden="1" x14ac:dyDescent="0.25"/>
    <row r="123" spans="1:10" hidden="1" x14ac:dyDescent="0.25"/>
    <row r="124" spans="1:10" hidden="1" x14ac:dyDescent="0.25"/>
    <row r="125" spans="1:10" hidden="1" x14ac:dyDescent="0.25"/>
    <row r="126" spans="1:10" hidden="1" x14ac:dyDescent="0.25"/>
    <row r="127" spans="1:10" hidden="1" x14ac:dyDescent="0.25"/>
    <row r="128" spans="1: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sheetData>
  <mergeCells count="4">
    <mergeCell ref="A7:F7"/>
    <mergeCell ref="A3:F3"/>
    <mergeCell ref="A4:F4"/>
    <mergeCell ref="A5:F5"/>
  </mergeCells>
  <printOptions horizontalCentered="1"/>
  <pageMargins left="0.19685039370078741" right="0.19685039370078741" top="0.39370078740157483" bottom="0.39370078740157483" header="0.31496062992125984" footer="0.31496062992125984"/>
  <pageSetup scale="55"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9"/>
  <sheetViews>
    <sheetView zoomScale="90" zoomScaleNormal="90" workbookViewId="0">
      <selection activeCell="F13" sqref="F13:H15"/>
    </sheetView>
  </sheetViews>
  <sheetFormatPr baseColWidth="10" defaultRowHeight="12.75" x14ac:dyDescent="0.2"/>
  <cols>
    <col min="1" max="1" width="4.140625" style="610" customWidth="1"/>
    <col min="2" max="2" width="35.85546875" style="610" customWidth="1"/>
    <col min="3" max="3" width="20.28515625" style="610" customWidth="1"/>
    <col min="4" max="4" width="35.85546875" style="610" customWidth="1"/>
    <col min="5" max="5" width="21.140625" style="610" customWidth="1"/>
    <col min="6" max="6" width="16.28515625" style="610" customWidth="1"/>
    <col min="7" max="7" width="30.140625" style="610" customWidth="1"/>
    <col min="8" max="253" width="11.5703125" style="610"/>
    <col min="254" max="254" width="29.42578125" style="610" bestFit="1" customWidth="1"/>
    <col min="255" max="255" width="19.7109375" style="610" bestFit="1" customWidth="1"/>
    <col min="256" max="256" width="28.28515625" style="610" bestFit="1" customWidth="1"/>
    <col min="257" max="509" width="11.5703125" style="610"/>
    <col min="510" max="510" width="29.42578125" style="610" bestFit="1" customWidth="1"/>
    <col min="511" max="511" width="19.7109375" style="610" bestFit="1" customWidth="1"/>
    <col min="512" max="512" width="28.28515625" style="610" bestFit="1" customWidth="1"/>
    <col min="513" max="765" width="11.5703125" style="610"/>
    <col min="766" max="766" width="29.42578125" style="610" bestFit="1" customWidth="1"/>
    <col min="767" max="767" width="19.7109375" style="610" bestFit="1" customWidth="1"/>
    <col min="768" max="768" width="28.28515625" style="610" bestFit="1" customWidth="1"/>
    <col min="769" max="1021" width="11.5703125" style="610"/>
    <col min="1022" max="1022" width="29.42578125" style="610" bestFit="1" customWidth="1"/>
    <col min="1023" max="1023" width="19.7109375" style="610" bestFit="1" customWidth="1"/>
    <col min="1024" max="1024" width="28.28515625" style="610" bestFit="1" customWidth="1"/>
    <col min="1025" max="1277" width="11.5703125" style="610"/>
    <col min="1278" max="1278" width="29.42578125" style="610" bestFit="1" customWidth="1"/>
    <col min="1279" max="1279" width="19.7109375" style="610" bestFit="1" customWidth="1"/>
    <col min="1280" max="1280" width="28.28515625" style="610" bestFit="1" customWidth="1"/>
    <col min="1281" max="1533" width="11.5703125" style="610"/>
    <col min="1534" max="1534" width="29.42578125" style="610" bestFit="1" customWidth="1"/>
    <col min="1535" max="1535" width="19.7109375" style="610" bestFit="1" customWidth="1"/>
    <col min="1536" max="1536" width="28.28515625" style="610" bestFit="1" customWidth="1"/>
    <col min="1537" max="1789" width="11.5703125" style="610"/>
    <col min="1790" max="1790" width="29.42578125" style="610" bestFit="1" customWidth="1"/>
    <col min="1791" max="1791" width="19.7109375" style="610" bestFit="1" customWidth="1"/>
    <col min="1792" max="1792" width="28.28515625" style="610" bestFit="1" customWidth="1"/>
    <col min="1793" max="2045" width="11.5703125" style="610"/>
    <col min="2046" max="2046" width="29.42578125" style="610" bestFit="1" customWidth="1"/>
    <col min="2047" max="2047" width="19.7109375" style="610" bestFit="1" customWidth="1"/>
    <col min="2048" max="2048" width="28.28515625" style="610" bestFit="1" customWidth="1"/>
    <col min="2049" max="2301" width="11.5703125" style="610"/>
    <col min="2302" max="2302" width="29.42578125" style="610" bestFit="1" customWidth="1"/>
    <col min="2303" max="2303" width="19.7109375" style="610" bestFit="1" customWidth="1"/>
    <col min="2304" max="2304" width="28.28515625" style="610" bestFit="1" customWidth="1"/>
    <col min="2305" max="2557" width="11.5703125" style="610"/>
    <col min="2558" max="2558" width="29.42578125" style="610" bestFit="1" customWidth="1"/>
    <col min="2559" max="2559" width="19.7109375" style="610" bestFit="1" customWidth="1"/>
    <col min="2560" max="2560" width="28.28515625" style="610" bestFit="1" customWidth="1"/>
    <col min="2561" max="2813" width="11.5703125" style="610"/>
    <col min="2814" max="2814" width="29.42578125" style="610" bestFit="1" customWidth="1"/>
    <col min="2815" max="2815" width="19.7109375" style="610" bestFit="1" customWidth="1"/>
    <col min="2816" max="2816" width="28.28515625" style="610" bestFit="1" customWidth="1"/>
    <col min="2817" max="3069" width="11.5703125" style="610"/>
    <col min="3070" max="3070" width="29.42578125" style="610" bestFit="1" customWidth="1"/>
    <col min="3071" max="3071" width="19.7109375" style="610" bestFit="1" customWidth="1"/>
    <col min="3072" max="3072" width="28.28515625" style="610" bestFit="1" customWidth="1"/>
    <col min="3073" max="3325" width="11.5703125" style="610"/>
    <col min="3326" max="3326" width="29.42578125" style="610" bestFit="1" customWidth="1"/>
    <col min="3327" max="3327" width="19.7109375" style="610" bestFit="1" customWidth="1"/>
    <col min="3328" max="3328" width="28.28515625" style="610" bestFit="1" customWidth="1"/>
    <col min="3329" max="3581" width="11.5703125" style="610"/>
    <col min="3582" max="3582" width="29.42578125" style="610" bestFit="1" customWidth="1"/>
    <col min="3583" max="3583" width="19.7109375" style="610" bestFit="1" customWidth="1"/>
    <col min="3584" max="3584" width="28.28515625" style="610" bestFit="1" customWidth="1"/>
    <col min="3585" max="3837" width="11.5703125" style="610"/>
    <col min="3838" max="3838" width="29.42578125" style="610" bestFit="1" customWidth="1"/>
    <col min="3839" max="3839" width="19.7109375" style="610" bestFit="1" customWidth="1"/>
    <col min="3840" max="3840" width="28.28515625" style="610" bestFit="1" customWidth="1"/>
    <col min="3841" max="4093" width="11.5703125" style="610"/>
    <col min="4094" max="4094" width="29.42578125" style="610" bestFit="1" customWidth="1"/>
    <col min="4095" max="4095" width="19.7109375" style="610" bestFit="1" customWidth="1"/>
    <col min="4096" max="4096" width="28.28515625" style="610" bestFit="1" customWidth="1"/>
    <col min="4097" max="4349" width="11.5703125" style="610"/>
    <col min="4350" max="4350" width="29.42578125" style="610" bestFit="1" customWidth="1"/>
    <col min="4351" max="4351" width="19.7109375" style="610" bestFit="1" customWidth="1"/>
    <col min="4352" max="4352" width="28.28515625" style="610" bestFit="1" customWidth="1"/>
    <col min="4353" max="4605" width="11.5703125" style="610"/>
    <col min="4606" max="4606" width="29.42578125" style="610" bestFit="1" customWidth="1"/>
    <col min="4607" max="4607" width="19.7109375" style="610" bestFit="1" customWidth="1"/>
    <col min="4608" max="4608" width="28.28515625" style="610" bestFit="1" customWidth="1"/>
    <col min="4609" max="4861" width="11.5703125" style="610"/>
    <col min="4862" max="4862" width="29.42578125" style="610" bestFit="1" customWidth="1"/>
    <col min="4863" max="4863" width="19.7109375" style="610" bestFit="1" customWidth="1"/>
    <col min="4864" max="4864" width="28.28515625" style="610" bestFit="1" customWidth="1"/>
    <col min="4865" max="5117" width="11.5703125" style="610"/>
    <col min="5118" max="5118" width="29.42578125" style="610" bestFit="1" customWidth="1"/>
    <col min="5119" max="5119" width="19.7109375" style="610" bestFit="1" customWidth="1"/>
    <col min="5120" max="5120" width="28.28515625" style="610" bestFit="1" customWidth="1"/>
    <col min="5121" max="5373" width="11.5703125" style="610"/>
    <col min="5374" max="5374" width="29.42578125" style="610" bestFit="1" customWidth="1"/>
    <col min="5375" max="5375" width="19.7109375" style="610" bestFit="1" customWidth="1"/>
    <col min="5376" max="5376" width="28.28515625" style="610" bestFit="1" customWidth="1"/>
    <col min="5377" max="5629" width="11.5703125" style="610"/>
    <col min="5630" max="5630" width="29.42578125" style="610" bestFit="1" customWidth="1"/>
    <col min="5631" max="5631" width="19.7109375" style="610" bestFit="1" customWidth="1"/>
    <col min="5632" max="5632" width="28.28515625" style="610" bestFit="1" customWidth="1"/>
    <col min="5633" max="5885" width="11.5703125" style="610"/>
    <col min="5886" max="5886" width="29.42578125" style="610" bestFit="1" customWidth="1"/>
    <col min="5887" max="5887" width="19.7109375" style="610" bestFit="1" customWidth="1"/>
    <col min="5888" max="5888" width="28.28515625" style="610" bestFit="1" customWidth="1"/>
    <col min="5889" max="6141" width="11.5703125" style="610"/>
    <col min="6142" max="6142" width="29.42578125" style="610" bestFit="1" customWidth="1"/>
    <col min="6143" max="6143" width="19.7109375" style="610" bestFit="1" customWidth="1"/>
    <col min="6144" max="6144" width="28.28515625" style="610" bestFit="1" customWidth="1"/>
    <col min="6145" max="6397" width="11.5703125" style="610"/>
    <col min="6398" max="6398" width="29.42578125" style="610" bestFit="1" customWidth="1"/>
    <col min="6399" max="6399" width="19.7109375" style="610" bestFit="1" customWidth="1"/>
    <col min="6400" max="6400" width="28.28515625" style="610" bestFit="1" customWidth="1"/>
    <col min="6401" max="6653" width="11.5703125" style="610"/>
    <col min="6654" max="6654" width="29.42578125" style="610" bestFit="1" customWidth="1"/>
    <col min="6655" max="6655" width="19.7109375" style="610" bestFit="1" customWidth="1"/>
    <col min="6656" max="6656" width="28.28515625" style="610" bestFit="1" customWidth="1"/>
    <col min="6657" max="6909" width="11.5703125" style="610"/>
    <col min="6910" max="6910" width="29.42578125" style="610" bestFit="1" customWidth="1"/>
    <col min="6911" max="6911" width="19.7109375" style="610" bestFit="1" customWidth="1"/>
    <col min="6912" max="6912" width="28.28515625" style="610" bestFit="1" customWidth="1"/>
    <col min="6913" max="7165" width="11.5703125" style="610"/>
    <col min="7166" max="7166" width="29.42578125" style="610" bestFit="1" customWidth="1"/>
    <col min="7167" max="7167" width="19.7109375" style="610" bestFit="1" customWidth="1"/>
    <col min="7168" max="7168" width="28.28515625" style="610" bestFit="1" customWidth="1"/>
    <col min="7169" max="7421" width="11.5703125" style="610"/>
    <col min="7422" max="7422" width="29.42578125" style="610" bestFit="1" customWidth="1"/>
    <col min="7423" max="7423" width="19.7109375" style="610" bestFit="1" customWidth="1"/>
    <col min="7424" max="7424" width="28.28515625" style="610" bestFit="1" customWidth="1"/>
    <col min="7425" max="7677" width="11.5703125" style="610"/>
    <col min="7678" max="7678" width="29.42578125" style="610" bestFit="1" customWidth="1"/>
    <col min="7679" max="7679" width="19.7109375" style="610" bestFit="1" customWidth="1"/>
    <col min="7680" max="7680" width="28.28515625" style="610" bestFit="1" customWidth="1"/>
    <col min="7681" max="7933" width="11.5703125" style="610"/>
    <col min="7934" max="7934" width="29.42578125" style="610" bestFit="1" customWidth="1"/>
    <col min="7935" max="7935" width="19.7109375" style="610" bestFit="1" customWidth="1"/>
    <col min="7936" max="7936" width="28.28515625" style="610" bestFit="1" customWidth="1"/>
    <col min="7937" max="8189" width="11.5703125" style="610"/>
    <col min="8190" max="8190" width="29.42578125" style="610" bestFit="1" customWidth="1"/>
    <col min="8191" max="8191" width="19.7109375" style="610" bestFit="1" customWidth="1"/>
    <col min="8192" max="8192" width="28.28515625" style="610" bestFit="1" customWidth="1"/>
    <col min="8193" max="8445" width="11.5703125" style="610"/>
    <col min="8446" max="8446" width="29.42578125" style="610" bestFit="1" customWidth="1"/>
    <col min="8447" max="8447" width="19.7109375" style="610" bestFit="1" customWidth="1"/>
    <col min="8448" max="8448" width="28.28515625" style="610" bestFit="1" customWidth="1"/>
    <col min="8449" max="8701" width="11.5703125" style="610"/>
    <col min="8702" max="8702" width="29.42578125" style="610" bestFit="1" customWidth="1"/>
    <col min="8703" max="8703" width="19.7109375" style="610" bestFit="1" customWidth="1"/>
    <col min="8704" max="8704" width="28.28515625" style="610" bestFit="1" customWidth="1"/>
    <col min="8705" max="8957" width="11.5703125" style="610"/>
    <col min="8958" max="8958" width="29.42578125" style="610" bestFit="1" customWidth="1"/>
    <col min="8959" max="8959" width="19.7109375" style="610" bestFit="1" customWidth="1"/>
    <col min="8960" max="8960" width="28.28515625" style="610" bestFit="1" customWidth="1"/>
    <col min="8961" max="9213" width="11.5703125" style="610"/>
    <col min="9214" max="9214" width="29.42578125" style="610" bestFit="1" customWidth="1"/>
    <col min="9215" max="9215" width="19.7109375" style="610" bestFit="1" customWidth="1"/>
    <col min="9216" max="9216" width="28.28515625" style="610" bestFit="1" customWidth="1"/>
    <col min="9217" max="9469" width="11.5703125" style="610"/>
    <col min="9470" max="9470" width="29.42578125" style="610" bestFit="1" customWidth="1"/>
    <col min="9471" max="9471" width="19.7109375" style="610" bestFit="1" customWidth="1"/>
    <col min="9472" max="9472" width="28.28515625" style="610" bestFit="1" customWidth="1"/>
    <col min="9473" max="9725" width="11.5703125" style="610"/>
    <col min="9726" max="9726" width="29.42578125" style="610" bestFit="1" customWidth="1"/>
    <col min="9727" max="9727" width="19.7109375" style="610" bestFit="1" customWidth="1"/>
    <col min="9728" max="9728" width="28.28515625" style="610" bestFit="1" customWidth="1"/>
    <col min="9729" max="9981" width="11.5703125" style="610"/>
    <col min="9982" max="9982" width="29.42578125" style="610" bestFit="1" customWidth="1"/>
    <col min="9983" max="9983" width="19.7109375" style="610" bestFit="1" customWidth="1"/>
    <col min="9984" max="9984" width="28.28515625" style="610" bestFit="1" customWidth="1"/>
    <col min="9985" max="10237" width="11.5703125" style="610"/>
    <col min="10238" max="10238" width="29.42578125" style="610" bestFit="1" customWidth="1"/>
    <col min="10239" max="10239" width="19.7109375" style="610" bestFit="1" customWidth="1"/>
    <col min="10240" max="10240" width="28.28515625" style="610" bestFit="1" customWidth="1"/>
    <col min="10241" max="10493" width="11.5703125" style="610"/>
    <col min="10494" max="10494" width="29.42578125" style="610" bestFit="1" customWidth="1"/>
    <col min="10495" max="10495" width="19.7109375" style="610" bestFit="1" customWidth="1"/>
    <col min="10496" max="10496" width="28.28515625" style="610" bestFit="1" customWidth="1"/>
    <col min="10497" max="10749" width="11.5703125" style="610"/>
    <col min="10750" max="10750" width="29.42578125" style="610" bestFit="1" customWidth="1"/>
    <col min="10751" max="10751" width="19.7109375" style="610" bestFit="1" customWidth="1"/>
    <col min="10752" max="10752" width="28.28515625" style="610" bestFit="1" customWidth="1"/>
    <col min="10753" max="11005" width="11.5703125" style="610"/>
    <col min="11006" max="11006" width="29.42578125" style="610" bestFit="1" customWidth="1"/>
    <col min="11007" max="11007" width="19.7109375" style="610" bestFit="1" customWidth="1"/>
    <col min="11008" max="11008" width="28.28515625" style="610" bestFit="1" customWidth="1"/>
    <col min="11009" max="11261" width="11.5703125" style="610"/>
    <col min="11262" max="11262" width="29.42578125" style="610" bestFit="1" customWidth="1"/>
    <col min="11263" max="11263" width="19.7109375" style="610" bestFit="1" customWidth="1"/>
    <col min="11264" max="11264" width="28.28515625" style="610" bestFit="1" customWidth="1"/>
    <col min="11265" max="11517" width="11.5703125" style="610"/>
    <col min="11518" max="11518" width="29.42578125" style="610" bestFit="1" customWidth="1"/>
    <col min="11519" max="11519" width="19.7109375" style="610" bestFit="1" customWidth="1"/>
    <col min="11520" max="11520" width="28.28515625" style="610" bestFit="1" customWidth="1"/>
    <col min="11521" max="11773" width="11.5703125" style="610"/>
    <col min="11774" max="11774" width="29.42578125" style="610" bestFit="1" customWidth="1"/>
    <col min="11775" max="11775" width="19.7109375" style="610" bestFit="1" customWidth="1"/>
    <col min="11776" max="11776" width="28.28515625" style="610" bestFit="1" customWidth="1"/>
    <col min="11777" max="12029" width="11.5703125" style="610"/>
    <col min="12030" max="12030" width="29.42578125" style="610" bestFit="1" customWidth="1"/>
    <col min="12031" max="12031" width="19.7109375" style="610" bestFit="1" customWidth="1"/>
    <col min="12032" max="12032" width="28.28515625" style="610" bestFit="1" customWidth="1"/>
    <col min="12033" max="12285" width="11.5703125" style="610"/>
    <col min="12286" max="12286" width="29.42578125" style="610" bestFit="1" customWidth="1"/>
    <col min="12287" max="12287" width="19.7109375" style="610" bestFit="1" customWidth="1"/>
    <col min="12288" max="12288" width="28.28515625" style="610" bestFit="1" customWidth="1"/>
    <col min="12289" max="12541" width="11.5703125" style="610"/>
    <col min="12542" max="12542" width="29.42578125" style="610" bestFit="1" customWidth="1"/>
    <col min="12543" max="12543" width="19.7109375" style="610" bestFit="1" customWidth="1"/>
    <col min="12544" max="12544" width="28.28515625" style="610" bestFit="1" customWidth="1"/>
    <col min="12545" max="12797" width="11.5703125" style="610"/>
    <col min="12798" max="12798" width="29.42578125" style="610" bestFit="1" customWidth="1"/>
    <col min="12799" max="12799" width="19.7109375" style="610" bestFit="1" customWidth="1"/>
    <col min="12800" max="12800" width="28.28515625" style="610" bestFit="1" customWidth="1"/>
    <col min="12801" max="13053" width="11.5703125" style="610"/>
    <col min="13054" max="13054" width="29.42578125" style="610" bestFit="1" customWidth="1"/>
    <col min="13055" max="13055" width="19.7109375" style="610" bestFit="1" customWidth="1"/>
    <col min="13056" max="13056" width="28.28515625" style="610" bestFit="1" customWidth="1"/>
    <col min="13057" max="13309" width="11.5703125" style="610"/>
    <col min="13310" max="13310" width="29.42578125" style="610" bestFit="1" customWidth="1"/>
    <col min="13311" max="13311" width="19.7109375" style="610" bestFit="1" customWidth="1"/>
    <col min="13312" max="13312" width="28.28515625" style="610" bestFit="1" customWidth="1"/>
    <col min="13313" max="13565" width="11.5703125" style="610"/>
    <col min="13566" max="13566" width="29.42578125" style="610" bestFit="1" customWidth="1"/>
    <col min="13567" max="13567" width="19.7109375" style="610" bestFit="1" customWidth="1"/>
    <col min="13568" max="13568" width="28.28515625" style="610" bestFit="1" customWidth="1"/>
    <col min="13569" max="13821" width="11.5703125" style="610"/>
    <col min="13822" max="13822" width="29.42578125" style="610" bestFit="1" customWidth="1"/>
    <col min="13823" max="13823" width="19.7109375" style="610" bestFit="1" customWidth="1"/>
    <col min="13824" max="13824" width="28.28515625" style="610" bestFit="1" customWidth="1"/>
    <col min="13825" max="14077" width="11.5703125" style="610"/>
    <col min="14078" max="14078" width="29.42578125" style="610" bestFit="1" customWidth="1"/>
    <col min="14079" max="14079" width="19.7109375" style="610" bestFit="1" customWidth="1"/>
    <col min="14080" max="14080" width="28.28515625" style="610" bestFit="1" customWidth="1"/>
    <col min="14081" max="14333" width="11.5703125" style="610"/>
    <col min="14334" max="14334" width="29.42578125" style="610" bestFit="1" customWidth="1"/>
    <col min="14335" max="14335" width="19.7109375" style="610" bestFit="1" customWidth="1"/>
    <col min="14336" max="14336" width="28.28515625" style="610" bestFit="1" customWidth="1"/>
    <col min="14337" max="14589" width="11.5703125" style="610"/>
    <col min="14590" max="14590" width="29.42578125" style="610" bestFit="1" customWidth="1"/>
    <col min="14591" max="14591" width="19.7109375" style="610" bestFit="1" customWidth="1"/>
    <col min="14592" max="14592" width="28.28515625" style="610" bestFit="1" customWidth="1"/>
    <col min="14593" max="14845" width="11.5703125" style="610"/>
    <col min="14846" max="14846" width="29.42578125" style="610" bestFit="1" customWidth="1"/>
    <col min="14847" max="14847" width="19.7109375" style="610" bestFit="1" customWidth="1"/>
    <col min="14848" max="14848" width="28.28515625" style="610" bestFit="1" customWidth="1"/>
    <col min="14849" max="15101" width="11.5703125" style="610"/>
    <col min="15102" max="15102" width="29.42578125" style="610" bestFit="1" customWidth="1"/>
    <col min="15103" max="15103" width="19.7109375" style="610" bestFit="1" customWidth="1"/>
    <col min="15104" max="15104" width="28.28515625" style="610" bestFit="1" customWidth="1"/>
    <col min="15105" max="15357" width="11.5703125" style="610"/>
    <col min="15358" max="15358" width="29.42578125" style="610" bestFit="1" customWidth="1"/>
    <col min="15359" max="15359" width="19.7109375" style="610" bestFit="1" customWidth="1"/>
    <col min="15360" max="15360" width="28.28515625" style="610" bestFit="1" customWidth="1"/>
    <col min="15361" max="15613" width="11.5703125" style="610"/>
    <col min="15614" max="15614" width="29.42578125" style="610" bestFit="1" customWidth="1"/>
    <col min="15615" max="15615" width="19.7109375" style="610" bestFit="1" customWidth="1"/>
    <col min="15616" max="15616" width="28.28515625" style="610" bestFit="1" customWidth="1"/>
    <col min="15617" max="15869" width="11.5703125" style="610"/>
    <col min="15870" max="15870" width="29.42578125" style="610" bestFit="1" customWidth="1"/>
    <col min="15871" max="15871" width="19.7109375" style="610" bestFit="1" customWidth="1"/>
    <col min="15872" max="15872" width="28.28515625" style="610" bestFit="1" customWidth="1"/>
    <col min="15873" max="16125" width="11.5703125" style="610"/>
    <col min="16126" max="16126" width="29.42578125" style="610" bestFit="1" customWidth="1"/>
    <col min="16127" max="16127" width="19.7109375" style="610" bestFit="1" customWidth="1"/>
    <col min="16128" max="16128" width="28.28515625" style="610" bestFit="1" customWidth="1"/>
    <col min="16129" max="16384" width="11.5703125" style="610"/>
  </cols>
  <sheetData>
    <row r="2" spans="1:7" s="310" customFormat="1" ht="15" customHeight="1" x14ac:dyDescent="0.25">
      <c r="B2" s="1545" t="s">
        <v>113</v>
      </c>
      <c r="C2" s="1545"/>
      <c r="D2" s="1545"/>
      <c r="E2" s="1545"/>
      <c r="F2" s="1545"/>
      <c r="G2" s="1545"/>
    </row>
    <row r="3" spans="1:7" s="310" customFormat="1" ht="18" x14ac:dyDescent="0.25">
      <c r="B3" s="1545" t="s">
        <v>114</v>
      </c>
      <c r="C3" s="1545"/>
      <c r="D3" s="1545"/>
      <c r="E3" s="1545"/>
      <c r="F3" s="1545"/>
      <c r="G3" s="1545"/>
    </row>
    <row r="4" spans="1:7" s="310" customFormat="1" ht="18" x14ac:dyDescent="0.25">
      <c r="B4" s="1545" t="s">
        <v>269</v>
      </c>
      <c r="C4" s="1545"/>
      <c r="D4" s="1545"/>
      <c r="E4" s="1545"/>
      <c r="F4" s="1545"/>
      <c r="G4" s="1545"/>
    </row>
    <row r="5" spans="1:7" s="310" customFormat="1" ht="18" x14ac:dyDescent="0.25">
      <c r="A5" s="483"/>
      <c r="B5" s="1545" t="s">
        <v>306</v>
      </c>
      <c r="C5" s="1545"/>
      <c r="D5" s="1545"/>
      <c r="E5" s="1545"/>
      <c r="F5" s="1545"/>
      <c r="G5" s="1545"/>
    </row>
    <row r="6" spans="1:7" s="1024" customFormat="1" ht="15.75" x14ac:dyDescent="0.25">
      <c r="A6" s="1023"/>
      <c r="B6" s="1023"/>
      <c r="C6" s="1023"/>
      <c r="D6" s="1023"/>
      <c r="E6" s="1023"/>
    </row>
    <row r="8" spans="1:7" ht="28.5" x14ac:dyDescent="0.2">
      <c r="B8" s="1543" t="s">
        <v>548</v>
      </c>
      <c r="C8" s="1544"/>
      <c r="D8" s="1543" t="s">
        <v>549</v>
      </c>
      <c r="E8" s="1544"/>
      <c r="F8" s="1483" t="s">
        <v>550</v>
      </c>
      <c r="G8" s="1482" t="s">
        <v>213</v>
      </c>
    </row>
    <row r="9" spans="1:7" ht="16.5" x14ac:dyDescent="0.3">
      <c r="B9" s="1489" t="s">
        <v>551</v>
      </c>
      <c r="C9" s="1488">
        <v>130176</v>
      </c>
      <c r="D9" s="1489" t="s">
        <v>551</v>
      </c>
      <c r="E9" s="1488">
        <v>128622</v>
      </c>
      <c r="F9" s="1490">
        <v>-1.1937684365781711E-2</v>
      </c>
      <c r="G9" s="1487" t="s">
        <v>295</v>
      </c>
    </row>
    <row r="10" spans="1:7" ht="16.5" x14ac:dyDescent="0.3">
      <c r="B10" s="1489" t="s">
        <v>552</v>
      </c>
      <c r="C10" s="1485">
        <v>21.37</v>
      </c>
      <c r="D10" s="1489" t="s">
        <v>552</v>
      </c>
      <c r="E10" s="1485">
        <v>21.37</v>
      </c>
      <c r="F10" s="1490">
        <v>0</v>
      </c>
      <c r="G10" s="1487" t="s">
        <v>296</v>
      </c>
    </row>
    <row r="11" spans="1:7" ht="16.5" x14ac:dyDescent="0.3">
      <c r="B11" s="1489" t="s">
        <v>553</v>
      </c>
      <c r="C11" s="1484">
        <v>700000</v>
      </c>
      <c r="D11" s="1489" t="s">
        <v>553</v>
      </c>
      <c r="E11" s="1484">
        <v>700000</v>
      </c>
      <c r="F11" s="1490">
        <v>0</v>
      </c>
      <c r="G11" s="1487" t="s">
        <v>297</v>
      </c>
    </row>
    <row r="12" spans="1:7" ht="16.5" x14ac:dyDescent="0.3">
      <c r="B12" s="1489" t="s">
        <v>554</v>
      </c>
      <c r="C12" s="1488">
        <v>2781861.12</v>
      </c>
      <c r="D12" s="1489" t="s">
        <v>554</v>
      </c>
      <c r="E12" s="1488">
        <v>2748652.14</v>
      </c>
      <c r="F12" s="1490">
        <v>-1.1937684365781704E-2</v>
      </c>
      <c r="G12" s="1487" t="s">
        <v>555</v>
      </c>
    </row>
    <row r="13" spans="1:7" ht="16.5" x14ac:dyDescent="0.3">
      <c r="B13" s="1489" t="s">
        <v>556</v>
      </c>
      <c r="C13" s="1488">
        <v>306004.72320000001</v>
      </c>
      <c r="D13" s="1489" t="s">
        <v>556</v>
      </c>
      <c r="E13" s="1488">
        <v>302351.73540000001</v>
      </c>
      <c r="F13" s="1490">
        <v>-1.193768436578172E-2</v>
      </c>
      <c r="G13" s="1487" t="s">
        <v>555</v>
      </c>
    </row>
    <row r="14" spans="1:7" ht="16.5" x14ac:dyDescent="0.3">
      <c r="B14" s="1489" t="s">
        <v>557</v>
      </c>
      <c r="C14" s="1488">
        <v>55637.222400000006</v>
      </c>
      <c r="D14" s="1489" t="s">
        <v>557</v>
      </c>
      <c r="E14" s="1488">
        <v>54973.042800000003</v>
      </c>
      <c r="F14" s="1490">
        <v>-1.1937684365781766E-2</v>
      </c>
      <c r="G14" s="1487" t="s">
        <v>555</v>
      </c>
    </row>
    <row r="15" spans="1:7" ht="16.5" x14ac:dyDescent="0.3">
      <c r="B15" s="1489" t="s">
        <v>558</v>
      </c>
      <c r="C15" s="1484">
        <v>1694153422080</v>
      </c>
      <c r="D15" s="1489" t="s">
        <v>558</v>
      </c>
      <c r="E15" s="1484">
        <v>1673929153260</v>
      </c>
      <c r="F15" s="1490">
        <v>-1.1937684365781711E-2</v>
      </c>
      <c r="G15" s="1487" t="s">
        <v>298</v>
      </c>
    </row>
    <row r="16" spans="1:7" ht="16.5" x14ac:dyDescent="0.3">
      <c r="B16" s="1489" t="s">
        <v>559</v>
      </c>
      <c r="C16" s="1484">
        <v>16941534220.800001</v>
      </c>
      <c r="D16" s="1489" t="s">
        <v>559</v>
      </c>
      <c r="E16" s="1484">
        <v>16739291532.6</v>
      </c>
      <c r="F16" s="1490">
        <v>-1.1937684365781754E-2</v>
      </c>
      <c r="G16" s="1487" t="s">
        <v>298</v>
      </c>
    </row>
    <row r="17" spans="2:7" ht="16.5" x14ac:dyDescent="0.3">
      <c r="B17" s="1489" t="s">
        <v>560</v>
      </c>
      <c r="C17" s="1484">
        <v>4150000000</v>
      </c>
      <c r="D17" s="1489" t="s">
        <v>561</v>
      </c>
      <c r="E17" s="1484">
        <v>4643999999.5503998</v>
      </c>
      <c r="F17" s="1490">
        <v>0.11903614446997585</v>
      </c>
      <c r="G17" s="1487" t="s">
        <v>298</v>
      </c>
    </row>
    <row r="18" spans="2:7" ht="16.5" x14ac:dyDescent="0.3">
      <c r="B18" s="1489" t="s">
        <v>562</v>
      </c>
      <c r="C18" s="1486">
        <v>0.24496010490625045</v>
      </c>
      <c r="D18" s="1489" t="s">
        <v>562</v>
      </c>
      <c r="E18" s="1486">
        <v>0.27743109620297524</v>
      </c>
      <c r="F18" s="1490">
        <v>0.13255624343054506</v>
      </c>
      <c r="G18" s="1487" t="s">
        <v>299</v>
      </c>
    </row>
    <row r="19" spans="2:7" ht="16.5" x14ac:dyDescent="0.3">
      <c r="B19" s="1489" t="s">
        <v>563</v>
      </c>
      <c r="C19" s="1486">
        <v>0.75503989509374958</v>
      </c>
      <c r="D19" s="1489" t="s">
        <v>563</v>
      </c>
      <c r="E19" s="1486">
        <v>0.72256890379702476</v>
      </c>
      <c r="F19" s="1490">
        <v>-4.3005663022207659E-2</v>
      </c>
      <c r="G19" s="1487" t="s">
        <v>299</v>
      </c>
    </row>
  </sheetData>
  <mergeCells count="6">
    <mergeCell ref="B8:C8"/>
    <mergeCell ref="D8:E8"/>
    <mergeCell ref="B2:G2"/>
    <mergeCell ref="B3:G3"/>
    <mergeCell ref="B4:G4"/>
    <mergeCell ref="B5:G5"/>
  </mergeCells>
  <printOptions horizontalCentered="1"/>
  <pageMargins left="0.19685039370078741" right="0.19685039370078741" top="0.94488188976377963" bottom="0.74803149606299213" header="0.31496062992125984" footer="0.31496062992125984"/>
  <pageSetup scale="75"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pageSetUpPr fitToPage="1"/>
  </sheetPr>
  <dimension ref="B2:I46"/>
  <sheetViews>
    <sheetView topLeftCell="A16" zoomScale="80" zoomScaleNormal="80" workbookViewId="0">
      <selection activeCell="F13" sqref="F13:H15"/>
    </sheetView>
  </sheetViews>
  <sheetFormatPr baseColWidth="10" defaultColWidth="11.42578125" defaultRowHeight="12.75" x14ac:dyDescent="0.2"/>
  <cols>
    <col min="1" max="1" width="9.5703125" style="6" customWidth="1"/>
    <col min="2" max="2" width="36.28515625" style="189" customWidth="1"/>
    <col min="3" max="3" width="15.140625" style="6" bestFit="1" customWidth="1"/>
    <col min="4" max="4" width="22.42578125" style="6" customWidth="1"/>
    <col min="5" max="5" width="11.7109375" style="6" customWidth="1"/>
    <col min="6" max="6" width="19.7109375" style="6" customWidth="1"/>
    <col min="7" max="7" width="16.28515625" style="6" bestFit="1" customWidth="1"/>
    <col min="8" max="8" width="14.85546875" style="6" bestFit="1" customWidth="1"/>
    <col min="9" max="9" width="12.42578125" style="6" bestFit="1" customWidth="1"/>
    <col min="10" max="16384" width="11.42578125" style="6"/>
  </cols>
  <sheetData>
    <row r="2" spans="2:9" s="310" customFormat="1" ht="15" customHeight="1" x14ac:dyDescent="0.25">
      <c r="B2" s="1545" t="s">
        <v>113</v>
      </c>
      <c r="C2" s="1545"/>
      <c r="D2" s="1545"/>
      <c r="E2" s="1545"/>
      <c r="F2" s="1545"/>
      <c r="G2" s="431"/>
      <c r="H2" s="431"/>
      <c r="I2" s="431"/>
    </row>
    <row r="3" spans="2:9" s="310" customFormat="1" ht="18" x14ac:dyDescent="0.25">
      <c r="B3" s="1545" t="s">
        <v>114</v>
      </c>
      <c r="C3" s="1545"/>
      <c r="D3" s="1545"/>
      <c r="E3" s="1545"/>
      <c r="F3" s="1545"/>
      <c r="G3" s="431"/>
      <c r="H3" s="431"/>
      <c r="I3" s="431"/>
    </row>
    <row r="4" spans="2:9" s="310" customFormat="1" ht="18" x14ac:dyDescent="0.25">
      <c r="B4" s="1545" t="s">
        <v>269</v>
      </c>
      <c r="C4" s="1545"/>
      <c r="D4" s="1545"/>
      <c r="E4" s="1545"/>
      <c r="F4" s="1545"/>
      <c r="G4" s="431"/>
      <c r="H4" s="431"/>
      <c r="I4" s="431"/>
    </row>
    <row r="6" spans="2:9" ht="13.5" thickBot="1" x14ac:dyDescent="0.25"/>
    <row r="7" spans="2:9" s="520" customFormat="1" ht="32.25" thickBot="1" x14ac:dyDescent="0.3">
      <c r="B7" s="502" t="s">
        <v>41</v>
      </c>
      <c r="C7" s="503" t="s">
        <v>250</v>
      </c>
      <c r="D7" s="504" t="s">
        <v>20</v>
      </c>
      <c r="E7" s="503" t="s">
        <v>576</v>
      </c>
      <c r="F7" s="505" t="s">
        <v>42</v>
      </c>
    </row>
    <row r="8" spans="2:9" s="521" customFormat="1" ht="16.149999999999999" customHeight="1" x14ac:dyDescent="0.2">
      <c r="B8" s="1546" t="s">
        <v>43</v>
      </c>
      <c r="C8" s="611" t="s">
        <v>115</v>
      </c>
      <c r="D8" s="612">
        <v>361588548.69213241</v>
      </c>
      <c r="E8" s="506">
        <f>+$D$23</f>
        <v>2.4659999999999999E-3</v>
      </c>
      <c r="F8" s="507">
        <f>+D8*E8</f>
        <v>891677.36107479851</v>
      </c>
      <c r="H8" s="522"/>
    </row>
    <row r="9" spans="2:9" s="521" customFormat="1" ht="16.149999999999999" customHeight="1" x14ac:dyDescent="0.2">
      <c r="B9" s="1547"/>
      <c r="C9" s="613" t="s">
        <v>116</v>
      </c>
      <c r="D9" s="614">
        <v>348430197.10485208</v>
      </c>
      <c r="E9" s="508">
        <f t="shared" ref="E9:E19" si="0">+$D$23</f>
        <v>2.4659999999999999E-3</v>
      </c>
      <c r="F9" s="509">
        <f t="shared" ref="F9:F19" si="1">+D9*E9</f>
        <v>859228.86606056523</v>
      </c>
      <c r="H9" s="522"/>
    </row>
    <row r="10" spans="2:9" s="521" customFormat="1" ht="16.149999999999999" customHeight="1" thickBot="1" x14ac:dyDescent="0.25">
      <c r="B10" s="1548"/>
      <c r="C10" s="615" t="s">
        <v>117</v>
      </c>
      <c r="D10" s="616">
        <v>396727866.34019715</v>
      </c>
      <c r="E10" s="510">
        <f t="shared" si="0"/>
        <v>2.4659999999999999E-3</v>
      </c>
      <c r="F10" s="511">
        <f t="shared" si="1"/>
        <v>978330.91839492612</v>
      </c>
      <c r="H10" s="522"/>
    </row>
    <row r="11" spans="2:9" s="521" customFormat="1" ht="16.149999999999999" customHeight="1" x14ac:dyDescent="0.2">
      <c r="B11" s="1549" t="s">
        <v>44</v>
      </c>
      <c r="C11" s="617" t="s">
        <v>118</v>
      </c>
      <c r="D11" s="618">
        <v>384135225.55696189</v>
      </c>
      <c r="E11" s="512">
        <f t="shared" si="0"/>
        <v>2.4659999999999999E-3</v>
      </c>
      <c r="F11" s="513">
        <f t="shared" si="1"/>
        <v>947277.46622346796</v>
      </c>
      <c r="H11" s="522"/>
    </row>
    <row r="12" spans="2:9" s="521" customFormat="1" ht="16.149999999999999" customHeight="1" x14ac:dyDescent="0.2">
      <c r="B12" s="1547"/>
      <c r="C12" s="613" t="s">
        <v>119</v>
      </c>
      <c r="D12" s="614">
        <v>384285654.74126607</v>
      </c>
      <c r="E12" s="508">
        <f t="shared" si="0"/>
        <v>2.4659999999999999E-3</v>
      </c>
      <c r="F12" s="509">
        <f t="shared" si="1"/>
        <v>947648.42459196213</v>
      </c>
      <c r="H12" s="522"/>
    </row>
    <row r="13" spans="2:9" s="521" customFormat="1" ht="16.149999999999999" customHeight="1" thickBot="1" x14ac:dyDescent="0.25">
      <c r="B13" s="1550"/>
      <c r="C13" s="619" t="s">
        <v>120</v>
      </c>
      <c r="D13" s="620">
        <v>388834188.4707039</v>
      </c>
      <c r="E13" s="514">
        <f t="shared" si="0"/>
        <v>2.4659999999999999E-3</v>
      </c>
      <c r="F13" s="515">
        <f t="shared" si="1"/>
        <v>958865.1087687558</v>
      </c>
      <c r="H13" s="522"/>
    </row>
    <row r="14" spans="2:9" s="521" customFormat="1" ht="16.149999999999999" customHeight="1" x14ac:dyDescent="0.2">
      <c r="B14" s="1549" t="s">
        <v>45</v>
      </c>
      <c r="C14" s="617" t="s">
        <v>121</v>
      </c>
      <c r="D14" s="618">
        <v>383850061.819399</v>
      </c>
      <c r="E14" s="512">
        <f t="shared" si="0"/>
        <v>2.4659999999999999E-3</v>
      </c>
      <c r="F14" s="513">
        <f t="shared" si="1"/>
        <v>946574.25244663784</v>
      </c>
      <c r="H14" s="522"/>
    </row>
    <row r="15" spans="2:9" s="521" customFormat="1" ht="16.149999999999999" customHeight="1" x14ac:dyDescent="0.2">
      <c r="B15" s="1547"/>
      <c r="C15" s="613" t="s">
        <v>122</v>
      </c>
      <c r="D15" s="614">
        <v>402747290.02664143</v>
      </c>
      <c r="E15" s="508">
        <f t="shared" si="0"/>
        <v>2.4659999999999999E-3</v>
      </c>
      <c r="F15" s="509">
        <f t="shared" si="1"/>
        <v>993174.81720569776</v>
      </c>
      <c r="H15" s="522"/>
    </row>
    <row r="16" spans="2:9" s="521" customFormat="1" ht="16.149999999999999" customHeight="1" thickBot="1" x14ac:dyDescent="0.25">
      <c r="B16" s="1550"/>
      <c r="C16" s="619" t="s">
        <v>251</v>
      </c>
      <c r="D16" s="620">
        <v>406776935.56741828</v>
      </c>
      <c r="E16" s="514">
        <f t="shared" si="0"/>
        <v>2.4659999999999999E-3</v>
      </c>
      <c r="F16" s="515">
        <f t="shared" si="1"/>
        <v>1003111.9231092534</v>
      </c>
      <c r="H16" s="522"/>
    </row>
    <row r="17" spans="2:8" s="521" customFormat="1" ht="16.149999999999999" customHeight="1" x14ac:dyDescent="0.2">
      <c r="B17" s="1549" t="s">
        <v>46</v>
      </c>
      <c r="C17" s="617" t="s">
        <v>252</v>
      </c>
      <c r="D17" s="618">
        <v>425156737.24906641</v>
      </c>
      <c r="E17" s="512">
        <f t="shared" si="0"/>
        <v>2.4659999999999999E-3</v>
      </c>
      <c r="F17" s="513">
        <f t="shared" si="1"/>
        <v>1048436.5140561977</v>
      </c>
      <c r="H17" s="522"/>
    </row>
    <row r="18" spans="2:8" s="521" customFormat="1" ht="16.149999999999999" customHeight="1" x14ac:dyDescent="0.2">
      <c r="B18" s="1547"/>
      <c r="C18" s="613" t="s">
        <v>253</v>
      </c>
      <c r="D18" s="516">
        <v>407580652.55099303</v>
      </c>
      <c r="E18" s="508">
        <f t="shared" si="0"/>
        <v>2.4659999999999999E-3</v>
      </c>
      <c r="F18" s="509">
        <f t="shared" si="1"/>
        <v>1005093.8891907488</v>
      </c>
      <c r="H18" s="522"/>
    </row>
    <row r="19" spans="2:8" s="521" customFormat="1" ht="16.149999999999999" customHeight="1" thickBot="1" x14ac:dyDescent="0.25">
      <c r="B19" s="1550"/>
      <c r="C19" s="619" t="s">
        <v>254</v>
      </c>
      <c r="D19" s="517">
        <v>353886641.98137164</v>
      </c>
      <c r="E19" s="514">
        <f t="shared" si="0"/>
        <v>2.4659999999999999E-3</v>
      </c>
      <c r="F19" s="515">
        <f t="shared" si="1"/>
        <v>872684.45912606246</v>
      </c>
      <c r="H19" s="522"/>
    </row>
    <row r="20" spans="2:8" s="521" customFormat="1" ht="16.5" thickBot="1" x14ac:dyDescent="0.3">
      <c r="B20" s="621" t="s">
        <v>33</v>
      </c>
      <c r="C20" s="622"/>
      <c r="D20" s="623">
        <f>SUM(D8:D19)</f>
        <v>4644000000.1010027</v>
      </c>
      <c r="E20" s="518"/>
      <c r="F20" s="519">
        <f>SUM(F8:F19)</f>
        <v>11452104.000249075</v>
      </c>
      <c r="H20" s="522"/>
    </row>
    <row r="21" spans="2:8" s="526" customFormat="1" ht="15" x14ac:dyDescent="0.2">
      <c r="B21" s="523"/>
      <c r="C21" s="524"/>
      <c r="D21" s="624"/>
      <c r="F21" s="525"/>
      <c r="G21" s="1301"/>
    </row>
    <row r="22" spans="2:8" s="521" customFormat="1" ht="15" x14ac:dyDescent="0.2">
      <c r="B22" s="527" t="s">
        <v>255</v>
      </c>
      <c r="C22" s="527"/>
      <c r="D22" s="625">
        <v>0.03</v>
      </c>
    </row>
    <row r="23" spans="2:8" s="521" customFormat="1" ht="15" x14ac:dyDescent="0.2">
      <c r="B23" s="527" t="s">
        <v>256</v>
      </c>
      <c r="C23" s="527"/>
      <c r="D23" s="626">
        <v>2.4659999999999999E-3</v>
      </c>
    </row>
    <row r="24" spans="2:8" s="521" customFormat="1" ht="15" x14ac:dyDescent="0.2">
      <c r="B24" s="627" t="s">
        <v>177</v>
      </c>
      <c r="C24" s="627"/>
      <c r="D24" s="628"/>
    </row>
    <row r="25" spans="2:8" s="521" customFormat="1" ht="15" x14ac:dyDescent="0.2">
      <c r="B25" s="528"/>
    </row>
    <row r="26" spans="2:8" s="521" customFormat="1" ht="15" x14ac:dyDescent="0.2">
      <c r="B26" s="528"/>
    </row>
    <row r="27" spans="2:8" s="521" customFormat="1" ht="15.75" thickBot="1" x14ac:dyDescent="0.25">
      <c r="B27" s="528"/>
    </row>
    <row r="28" spans="2:8" s="521" customFormat="1" ht="32.25" thickBot="1" x14ac:dyDescent="0.25">
      <c r="B28" s="502" t="s">
        <v>41</v>
      </c>
      <c r="C28" s="503" t="s">
        <v>250</v>
      </c>
      <c r="D28" s="504" t="s">
        <v>257</v>
      </c>
      <c r="E28" s="503" t="s">
        <v>576</v>
      </c>
      <c r="F28" s="505" t="s">
        <v>42</v>
      </c>
    </row>
    <row r="29" spans="2:8" s="521" customFormat="1" ht="15" x14ac:dyDescent="0.2">
      <c r="B29" s="1546" t="s">
        <v>43</v>
      </c>
      <c r="C29" s="629" t="s">
        <v>115</v>
      </c>
      <c r="D29" s="612">
        <v>1200000000</v>
      </c>
      <c r="E29" s="506">
        <f>+$D$44</f>
        <v>3.274E-3</v>
      </c>
      <c r="F29" s="507">
        <f>+D29*E29</f>
        <v>3928800</v>
      </c>
    </row>
    <row r="30" spans="2:8" s="521" customFormat="1" ht="15" x14ac:dyDescent="0.2">
      <c r="B30" s="1547"/>
      <c r="C30" s="630" t="s">
        <v>116</v>
      </c>
      <c r="D30" s="614">
        <v>1200000000</v>
      </c>
      <c r="E30" s="508">
        <f t="shared" ref="E30:E40" si="2">+$D$44</f>
        <v>3.274E-3</v>
      </c>
      <c r="F30" s="509">
        <f>+D30*E30</f>
        <v>3928800</v>
      </c>
    </row>
    <row r="31" spans="2:8" s="521" customFormat="1" ht="15.75" thickBot="1" x14ac:dyDescent="0.25">
      <c r="B31" s="1548"/>
      <c r="C31" s="631" t="s">
        <v>117</v>
      </c>
      <c r="D31" s="616">
        <v>1200000000</v>
      </c>
      <c r="E31" s="510">
        <f t="shared" si="2"/>
        <v>3.274E-3</v>
      </c>
      <c r="F31" s="511">
        <f t="shared" ref="F31:F40" si="3">+D31*E31</f>
        <v>3928800</v>
      </c>
    </row>
    <row r="32" spans="2:8" s="521" customFormat="1" ht="15" x14ac:dyDescent="0.2">
      <c r="B32" s="1549" t="s">
        <v>44</v>
      </c>
      <c r="C32" s="632" t="s">
        <v>118</v>
      </c>
      <c r="D32" s="618">
        <v>1600000000</v>
      </c>
      <c r="E32" s="512">
        <f t="shared" si="2"/>
        <v>3.274E-3</v>
      </c>
      <c r="F32" s="513">
        <f t="shared" si="3"/>
        <v>5238400</v>
      </c>
    </row>
    <row r="33" spans="2:8" s="521" customFormat="1" ht="15" x14ac:dyDescent="0.2">
      <c r="B33" s="1547"/>
      <c r="C33" s="630" t="s">
        <v>119</v>
      </c>
      <c r="D33" s="614">
        <v>1600000000</v>
      </c>
      <c r="E33" s="508">
        <f t="shared" si="2"/>
        <v>3.274E-3</v>
      </c>
      <c r="F33" s="509">
        <f t="shared" si="3"/>
        <v>5238400</v>
      </c>
    </row>
    <row r="34" spans="2:8" s="521" customFormat="1" ht="15.75" thickBot="1" x14ac:dyDescent="0.25">
      <c r="B34" s="1550"/>
      <c r="C34" s="633" t="s">
        <v>120</v>
      </c>
      <c r="D34" s="620">
        <v>1600000000</v>
      </c>
      <c r="E34" s="514">
        <f t="shared" si="2"/>
        <v>3.274E-3</v>
      </c>
      <c r="F34" s="515">
        <f t="shared" si="3"/>
        <v>5238400</v>
      </c>
    </row>
    <row r="35" spans="2:8" s="521" customFormat="1" ht="15" x14ac:dyDescent="0.2">
      <c r="B35" s="1549" t="s">
        <v>45</v>
      </c>
      <c r="C35" s="632" t="s">
        <v>121</v>
      </c>
      <c r="D35" s="618">
        <v>1800000000</v>
      </c>
      <c r="E35" s="512">
        <f t="shared" si="2"/>
        <v>3.274E-3</v>
      </c>
      <c r="F35" s="513">
        <f t="shared" si="3"/>
        <v>5893200</v>
      </c>
    </row>
    <row r="36" spans="2:8" s="521" customFormat="1" ht="15" x14ac:dyDescent="0.2">
      <c r="B36" s="1547"/>
      <c r="C36" s="630" t="s">
        <v>122</v>
      </c>
      <c r="D36" s="614">
        <v>1800000000</v>
      </c>
      <c r="E36" s="508">
        <f t="shared" si="2"/>
        <v>3.274E-3</v>
      </c>
      <c r="F36" s="509">
        <f t="shared" si="3"/>
        <v>5893200</v>
      </c>
    </row>
    <row r="37" spans="2:8" s="521" customFormat="1" ht="30.75" thickBot="1" x14ac:dyDescent="0.25">
      <c r="B37" s="1550"/>
      <c r="C37" s="633" t="s">
        <v>251</v>
      </c>
      <c r="D37" s="620">
        <v>1800000000</v>
      </c>
      <c r="E37" s="514">
        <f t="shared" si="2"/>
        <v>3.274E-3</v>
      </c>
      <c r="F37" s="515">
        <f t="shared" si="3"/>
        <v>5893200</v>
      </c>
    </row>
    <row r="38" spans="2:8" s="521" customFormat="1" ht="15" x14ac:dyDescent="0.2">
      <c r="B38" s="1549" t="s">
        <v>46</v>
      </c>
      <c r="C38" s="632" t="s">
        <v>252</v>
      </c>
      <c r="D38" s="618">
        <v>1900000000</v>
      </c>
      <c r="E38" s="512">
        <f t="shared" si="2"/>
        <v>3.274E-3</v>
      </c>
      <c r="F38" s="513">
        <f t="shared" si="3"/>
        <v>6220600</v>
      </c>
    </row>
    <row r="39" spans="2:8" s="521" customFormat="1" ht="15" x14ac:dyDescent="0.2">
      <c r="B39" s="1547"/>
      <c r="C39" s="630" t="s">
        <v>253</v>
      </c>
      <c r="D39" s="516">
        <v>1900000000</v>
      </c>
      <c r="E39" s="508">
        <f t="shared" si="2"/>
        <v>3.274E-3</v>
      </c>
      <c r="F39" s="509">
        <f t="shared" si="3"/>
        <v>6220600</v>
      </c>
    </row>
    <row r="40" spans="2:8" s="521" customFormat="1" ht="15.75" thickBot="1" x14ac:dyDescent="0.25">
      <c r="B40" s="1550"/>
      <c r="C40" s="633" t="s">
        <v>254</v>
      </c>
      <c r="D40" s="517">
        <v>1900000000</v>
      </c>
      <c r="E40" s="514">
        <f t="shared" si="2"/>
        <v>3.274E-3</v>
      </c>
      <c r="F40" s="515">
        <f t="shared" si="3"/>
        <v>6220600</v>
      </c>
    </row>
    <row r="41" spans="2:8" s="521" customFormat="1" ht="16.5" thickBot="1" x14ac:dyDescent="0.3">
      <c r="B41" s="621" t="s">
        <v>577</v>
      </c>
      <c r="C41" s="622"/>
      <c r="D41" s="623">
        <f>AVERAGE(D29:D40)</f>
        <v>1625000000</v>
      </c>
      <c r="E41" s="518"/>
      <c r="F41" s="519">
        <f>SUM(F29:F40)</f>
        <v>63843000</v>
      </c>
      <c r="H41" s="340">
        <f>+F41+F20</f>
        <v>75295104.000249073</v>
      </c>
    </row>
    <row r="42" spans="2:8" s="521" customFormat="1" ht="15" x14ac:dyDescent="0.2">
      <c r="B42" s="523"/>
      <c r="C42" s="524"/>
      <c r="D42" s="624"/>
      <c r="E42" s="525"/>
      <c r="F42" s="525"/>
    </row>
    <row r="43" spans="2:8" s="521" customFormat="1" ht="15" x14ac:dyDescent="0.2">
      <c r="B43" s="527" t="s">
        <v>255</v>
      </c>
      <c r="C43" s="527"/>
      <c r="D43" s="625">
        <v>3.9E-2</v>
      </c>
    </row>
    <row r="44" spans="2:8" s="521" customFormat="1" ht="15" x14ac:dyDescent="0.2">
      <c r="B44" s="527" t="s">
        <v>256</v>
      </c>
      <c r="C44" s="527"/>
      <c r="D44" s="626">
        <v>3.274E-3</v>
      </c>
    </row>
    <row r="45" spans="2:8" s="521" customFormat="1" ht="15" x14ac:dyDescent="0.2">
      <c r="B45" s="627" t="s">
        <v>177</v>
      </c>
      <c r="C45" s="627"/>
      <c r="D45" s="628"/>
    </row>
    <row r="46" spans="2:8" s="521" customFormat="1" ht="15" x14ac:dyDescent="0.2">
      <c r="B46" s="528"/>
    </row>
  </sheetData>
  <mergeCells count="11">
    <mergeCell ref="B35:B37"/>
    <mergeCell ref="B38:B40"/>
    <mergeCell ref="B8:B10"/>
    <mergeCell ref="B11:B13"/>
    <mergeCell ref="B14:B16"/>
    <mergeCell ref="B17:B19"/>
    <mergeCell ref="B2:F2"/>
    <mergeCell ref="B3:F3"/>
    <mergeCell ref="B4:F4"/>
    <mergeCell ref="B29:B31"/>
    <mergeCell ref="B32:B34"/>
  </mergeCells>
  <hyperlinks>
    <hyperlink ref="B24" r:id="rId1" xr:uid="{00000000-0004-0000-0600-000000000000}"/>
    <hyperlink ref="B45" r:id="rId2" xr:uid="{00000000-0004-0000-0600-000001000000}"/>
  </hyperlinks>
  <pageMargins left="0.70866141732283472" right="0.70866141732283472" top="0.74803149606299213" bottom="0.74803149606299213" header="0.31496062992125984" footer="0.31496062992125984"/>
  <pageSetup scale="69" orientation="landscape" horizontalDpi="4294967293"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view="pageBreakPreview" topLeftCell="A4" zoomScaleNormal="100" zoomScaleSheetLayoutView="100" workbookViewId="0">
      <selection activeCell="F13" sqref="F13:H15"/>
    </sheetView>
  </sheetViews>
  <sheetFormatPr baseColWidth="10" defaultColWidth="11.42578125" defaultRowHeight="15" x14ac:dyDescent="0.2"/>
  <cols>
    <col min="1" max="1" width="11.42578125" style="85"/>
    <col min="2" max="2" width="25.140625" style="85" customWidth="1"/>
    <col min="3" max="3" width="23.7109375" style="85" customWidth="1"/>
    <col min="4" max="4" width="22.28515625" style="85" customWidth="1"/>
    <col min="5" max="5" width="14.140625" style="499" customWidth="1"/>
    <col min="6" max="6" width="10.28515625" style="85" customWidth="1"/>
    <col min="7" max="8" width="38.5703125" style="636" customWidth="1"/>
    <col min="9" max="16384" width="11.42578125" style="85"/>
  </cols>
  <sheetData>
    <row r="1" spans="1:10" ht="15" customHeight="1" x14ac:dyDescent="0.2">
      <c r="A1" s="634"/>
      <c r="B1" s="634"/>
      <c r="C1" s="634"/>
      <c r="D1" s="634"/>
      <c r="E1" s="634"/>
      <c r="F1" s="634"/>
      <c r="G1" s="634"/>
      <c r="H1" s="634"/>
      <c r="I1" s="635"/>
      <c r="J1" s="90"/>
    </row>
    <row r="2" spans="1:10" s="643" customFormat="1" ht="18" x14ac:dyDescent="0.25">
      <c r="B2" s="1551" t="s">
        <v>55</v>
      </c>
      <c r="C2" s="1551"/>
      <c r="D2" s="1551"/>
      <c r="E2" s="644"/>
      <c r="F2" s="644"/>
      <c r="G2" s="644"/>
      <c r="H2" s="644"/>
      <c r="I2" s="645"/>
      <c r="J2" s="646"/>
    </row>
    <row r="3" spans="1:10" s="643" customFormat="1" ht="35.450000000000003" customHeight="1" x14ac:dyDescent="0.25">
      <c r="B3" s="1552" t="s">
        <v>272</v>
      </c>
      <c r="C3" s="1552"/>
      <c r="D3" s="1552"/>
      <c r="E3" s="647"/>
      <c r="F3" s="647"/>
      <c r="G3" s="647"/>
      <c r="H3" s="647"/>
      <c r="I3" s="644"/>
      <c r="J3" s="646"/>
    </row>
    <row r="5" spans="1:10" ht="15.75" x14ac:dyDescent="0.2">
      <c r="B5" s="637" t="s">
        <v>250</v>
      </c>
      <c r="C5" s="637" t="s">
        <v>285</v>
      </c>
      <c r="D5" s="637" t="s">
        <v>293</v>
      </c>
      <c r="E5" s="638"/>
    </row>
    <row r="6" spans="1:10" x14ac:dyDescent="0.2">
      <c r="B6" s="648">
        <v>43466</v>
      </c>
      <c r="C6" s="649">
        <v>361588548.69213241</v>
      </c>
      <c r="D6" s="649">
        <v>660500</v>
      </c>
      <c r="E6" s="639"/>
      <c r="F6" s="500"/>
      <c r="G6" s="85"/>
      <c r="I6" s="636"/>
    </row>
    <row r="7" spans="1:10" x14ac:dyDescent="0.2">
      <c r="B7" s="648">
        <v>43497</v>
      </c>
      <c r="C7" s="649">
        <v>348430197.10485208</v>
      </c>
      <c r="D7" s="649">
        <v>652600</v>
      </c>
      <c r="E7" s="639"/>
      <c r="F7" s="500"/>
      <c r="G7" s="85"/>
      <c r="I7" s="636"/>
    </row>
    <row r="8" spans="1:10" x14ac:dyDescent="0.2">
      <c r="B8" s="648">
        <v>43525</v>
      </c>
      <c r="C8" s="649">
        <v>396727866.34019715</v>
      </c>
      <c r="D8" s="649">
        <v>639000.44293819601</v>
      </c>
      <c r="E8" s="639"/>
      <c r="F8" s="500"/>
      <c r="G8" s="85"/>
      <c r="I8" s="636"/>
    </row>
    <row r="9" spans="1:10" x14ac:dyDescent="0.2">
      <c r="B9" s="648">
        <v>43556</v>
      </c>
      <c r="C9" s="649">
        <v>384135225.55696189</v>
      </c>
      <c r="D9" s="649">
        <v>820000</v>
      </c>
      <c r="E9" s="640"/>
      <c r="F9" s="500"/>
      <c r="G9" s="85"/>
      <c r="I9" s="636"/>
    </row>
    <row r="10" spans="1:10" x14ac:dyDescent="0.2">
      <c r="B10" s="648">
        <v>43586</v>
      </c>
      <c r="C10" s="649">
        <v>384285654.74126607</v>
      </c>
      <c r="D10" s="649">
        <v>853000</v>
      </c>
      <c r="E10" s="640"/>
      <c r="F10" s="500"/>
      <c r="G10" s="85"/>
      <c r="I10" s="636"/>
    </row>
    <row r="11" spans="1:10" x14ac:dyDescent="0.2">
      <c r="B11" s="648">
        <v>43617</v>
      </c>
      <c r="C11" s="649">
        <v>388834188.4707039</v>
      </c>
      <c r="D11" s="649">
        <v>990000</v>
      </c>
      <c r="E11" s="640"/>
      <c r="F11" s="500"/>
      <c r="G11" s="500"/>
      <c r="I11" s="636"/>
    </row>
    <row r="12" spans="1:10" x14ac:dyDescent="0.2">
      <c r="B12" s="648">
        <v>43647</v>
      </c>
      <c r="C12" s="649">
        <v>383850061.819399</v>
      </c>
      <c r="D12" s="649">
        <v>832000</v>
      </c>
      <c r="E12" s="639"/>
      <c r="F12" s="500"/>
      <c r="G12" s="500"/>
      <c r="I12" s="636"/>
    </row>
    <row r="13" spans="1:10" x14ac:dyDescent="0.2">
      <c r="B13" s="648">
        <v>43678</v>
      </c>
      <c r="C13" s="649">
        <v>402747290.02664143</v>
      </c>
      <c r="D13" s="649">
        <v>944000</v>
      </c>
      <c r="E13" s="640"/>
      <c r="F13" s="500"/>
      <c r="G13" s="500"/>
      <c r="I13" s="636"/>
    </row>
    <row r="14" spans="1:10" x14ac:dyDescent="0.2">
      <c r="B14" s="648">
        <v>43709</v>
      </c>
      <c r="C14" s="649">
        <v>406776935.56741828</v>
      </c>
      <c r="D14" s="649">
        <v>876499.99999999965</v>
      </c>
      <c r="E14" s="640"/>
      <c r="F14" s="500"/>
      <c r="G14" s="500"/>
      <c r="I14" s="636"/>
    </row>
    <row r="15" spans="1:10" x14ac:dyDescent="0.2">
      <c r="B15" s="648">
        <v>43739</v>
      </c>
      <c r="C15" s="649">
        <v>425156737.24906641</v>
      </c>
      <c r="D15" s="649">
        <v>928850.02429033699</v>
      </c>
      <c r="E15" s="640"/>
      <c r="F15" s="500"/>
      <c r="G15" s="500"/>
      <c r="I15" s="636"/>
    </row>
    <row r="16" spans="1:10" x14ac:dyDescent="0.2">
      <c r="B16" s="648">
        <v>43770</v>
      </c>
      <c r="C16" s="649">
        <v>407580652.55099303</v>
      </c>
      <c r="D16" s="649">
        <v>853550</v>
      </c>
      <c r="E16" s="640"/>
      <c r="F16" s="500"/>
      <c r="G16" s="500"/>
      <c r="I16" s="636"/>
    </row>
    <row r="17" spans="2:9" x14ac:dyDescent="0.2">
      <c r="B17" s="648">
        <v>43800</v>
      </c>
      <c r="C17" s="649">
        <v>353886641.98137164</v>
      </c>
      <c r="D17" s="649">
        <v>950000</v>
      </c>
      <c r="E17" s="640"/>
      <c r="F17" s="500"/>
      <c r="G17" s="500"/>
      <c r="I17" s="636"/>
    </row>
    <row r="18" spans="2:9" ht="15.75" x14ac:dyDescent="0.2">
      <c r="B18" s="637" t="s">
        <v>33</v>
      </c>
      <c r="C18" s="641">
        <f>SUM(C6:C17)</f>
        <v>4644000000.1010027</v>
      </c>
      <c r="D18" s="641">
        <f>SUM(D6:D17)</f>
        <v>10000000.467228532</v>
      </c>
      <c r="E18" s="639"/>
      <c r="F18" s="501"/>
      <c r="G18" s="500"/>
      <c r="I18" s="636"/>
    </row>
    <row r="19" spans="2:9" x14ac:dyDescent="0.2">
      <c r="D19" s="1302"/>
      <c r="E19" s="639"/>
      <c r="F19" s="501"/>
      <c r="G19" s="500"/>
      <c r="I19" s="636"/>
    </row>
    <row r="20" spans="2:9" ht="31.15" customHeight="1" x14ac:dyDescent="0.2">
      <c r="B20" s="1553" t="s">
        <v>307</v>
      </c>
      <c r="C20" s="1553"/>
      <c r="D20" s="1553"/>
      <c r="E20" s="640"/>
      <c r="F20" s="642"/>
      <c r="G20" s="85"/>
      <c r="I20" s="636"/>
    </row>
    <row r="21" spans="2:9" x14ac:dyDescent="0.2">
      <c r="E21" s="639"/>
      <c r="F21" s="501"/>
      <c r="G21" s="500"/>
      <c r="I21" s="636"/>
    </row>
    <row r="22" spans="2:9" x14ac:dyDescent="0.2">
      <c r="E22" s="639"/>
      <c r="F22" s="501"/>
      <c r="G22" s="500"/>
      <c r="I22" s="636"/>
    </row>
    <row r="23" spans="2:9" ht="15.75" x14ac:dyDescent="0.2">
      <c r="B23" s="637" t="s">
        <v>294</v>
      </c>
      <c r="C23" s="641">
        <f>35000000</f>
        <v>35000000</v>
      </c>
      <c r="D23" s="1554"/>
      <c r="E23" s="1554"/>
      <c r="F23" s="1554"/>
      <c r="G23" s="85"/>
      <c r="I23" s="636"/>
    </row>
    <row r="24" spans="2:9" ht="24" customHeight="1" x14ac:dyDescent="0.2">
      <c r="D24" s="1554"/>
      <c r="E24" s="1554"/>
      <c r="F24" s="1554"/>
      <c r="G24" s="85"/>
      <c r="I24" s="636"/>
    </row>
    <row r="25" spans="2:9" ht="31.15" customHeight="1" x14ac:dyDescent="0.2">
      <c r="B25" s="1553" t="s">
        <v>436</v>
      </c>
      <c r="C25" s="1553"/>
      <c r="D25" s="1553"/>
      <c r="E25" s="1053"/>
      <c r="F25" s="1053"/>
      <c r="G25" s="85"/>
      <c r="I25" s="636"/>
    </row>
    <row r="26" spans="2:9" ht="24" customHeight="1" x14ac:dyDescent="0.2">
      <c r="D26" s="1053"/>
      <c r="E26" s="1053"/>
      <c r="F26" s="1053"/>
      <c r="G26" s="85"/>
      <c r="I26" s="636"/>
    </row>
  </sheetData>
  <mergeCells count="5">
    <mergeCell ref="B2:D2"/>
    <mergeCell ref="B3:D3"/>
    <mergeCell ref="B20:D20"/>
    <mergeCell ref="D23:F24"/>
    <mergeCell ref="B25:D25"/>
  </mergeCells>
  <pageMargins left="0.70866141732283472" right="0.70866141732283472" top="0.74803149606299213" bottom="0.74803149606299213" header="0.31496062992125984" footer="0.31496062992125984"/>
  <pageSetup scale="9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B1:M37"/>
  <sheetViews>
    <sheetView zoomScale="90" zoomScaleNormal="90" workbookViewId="0">
      <selection activeCell="F13" sqref="F13:H15"/>
    </sheetView>
  </sheetViews>
  <sheetFormatPr baseColWidth="10" defaultRowHeight="15" x14ac:dyDescent="0.25"/>
  <cols>
    <col min="1" max="1" width="2.7109375" customWidth="1"/>
    <col min="2" max="2" width="31.42578125" bestFit="1" customWidth="1"/>
    <col min="3" max="3" width="15.42578125" hidden="1" customWidth="1"/>
    <col min="4" max="4" width="17.7109375" hidden="1" customWidth="1"/>
    <col min="5" max="5" width="13.7109375" hidden="1" customWidth="1"/>
    <col min="6" max="6" width="13.5703125" bestFit="1" customWidth="1"/>
    <col min="7" max="7" width="11.7109375" style="96" hidden="1" customWidth="1"/>
    <col min="8" max="8" width="11.5703125" hidden="1" customWidth="1"/>
    <col min="9" max="9" width="17.5703125" bestFit="1" customWidth="1"/>
  </cols>
  <sheetData>
    <row r="1" spans="2:13" x14ac:dyDescent="0.25">
      <c r="B1" s="1555" t="s">
        <v>30</v>
      </c>
      <c r="C1" s="1555"/>
      <c r="D1" s="1555"/>
      <c r="E1" s="1555"/>
      <c r="F1" s="1555"/>
      <c r="G1" s="5"/>
      <c r="H1" s="5"/>
      <c r="I1" s="5"/>
    </row>
    <row r="2" spans="2:13" x14ac:dyDescent="0.25">
      <c r="B2" s="1555" t="s">
        <v>31</v>
      </c>
      <c r="C2" s="1555"/>
      <c r="D2" s="1555"/>
      <c r="E2" s="1555"/>
      <c r="F2" s="1555"/>
      <c r="G2" s="5"/>
      <c r="H2" s="5"/>
      <c r="I2" s="5"/>
    </row>
    <row r="3" spans="2:13" x14ac:dyDescent="0.25">
      <c r="B3" s="1555" t="s">
        <v>273</v>
      </c>
      <c r="C3" s="1555"/>
      <c r="D3" s="1555"/>
      <c r="E3" s="1555"/>
      <c r="F3" s="1555"/>
      <c r="G3" s="5"/>
      <c r="H3" s="5"/>
      <c r="I3" s="5"/>
    </row>
    <row r="4" spans="2:13" ht="15.75" thickBot="1" x14ac:dyDescent="0.3"/>
    <row r="5" spans="2:13" ht="16.5" thickBot="1" x14ac:dyDescent="0.3">
      <c r="B5" s="13" t="s">
        <v>94</v>
      </c>
      <c r="C5" s="14"/>
      <c r="D5" s="14"/>
      <c r="E5" s="14"/>
      <c r="F5" s="15" t="s">
        <v>93</v>
      </c>
    </row>
    <row r="6" spans="2:13" ht="15.75" x14ac:dyDescent="0.25">
      <c r="B6" s="16" t="s">
        <v>0</v>
      </c>
      <c r="C6" s="17"/>
      <c r="D6" s="17"/>
      <c r="E6" s="17"/>
      <c r="F6" s="56">
        <v>3.5000000000000003E-2</v>
      </c>
    </row>
    <row r="7" spans="2:13" ht="15.75" x14ac:dyDescent="0.25">
      <c r="B7" s="18" t="s">
        <v>101</v>
      </c>
      <c r="C7" s="19"/>
      <c r="D7" s="19"/>
      <c r="E7" s="19"/>
      <c r="F7" s="20">
        <v>0.05</v>
      </c>
      <c r="G7" s="430">
        <v>4.2500000000000003E-2</v>
      </c>
    </row>
    <row r="8" spans="2:13" ht="15.75" x14ac:dyDescent="0.25">
      <c r="B8" s="18" t="s">
        <v>19</v>
      </c>
      <c r="C8" s="19"/>
      <c r="D8" s="19"/>
      <c r="E8" s="19"/>
      <c r="F8" s="21">
        <v>2019</v>
      </c>
    </row>
    <row r="9" spans="2:13" ht="15.75" x14ac:dyDescent="0.25">
      <c r="B9" s="18" t="s">
        <v>27</v>
      </c>
      <c r="C9" s="19"/>
      <c r="D9" s="19"/>
      <c r="E9" s="19"/>
      <c r="F9" s="21">
        <v>12</v>
      </c>
    </row>
    <row r="10" spans="2:13" ht="15.75" x14ac:dyDescent="0.25">
      <c r="B10" s="18" t="s">
        <v>578</v>
      </c>
      <c r="C10" s="19"/>
      <c r="D10" s="19"/>
      <c r="E10" s="19"/>
      <c r="F10" s="21">
        <v>360</v>
      </c>
    </row>
    <row r="11" spans="2:13" ht="15.75" x14ac:dyDescent="0.25">
      <c r="B11" s="18" t="s">
        <v>579</v>
      </c>
      <c r="C11" s="19"/>
      <c r="D11" s="19"/>
      <c r="E11" s="19"/>
      <c r="F11" s="21">
        <v>360</v>
      </c>
    </row>
    <row r="12" spans="2:13" ht="15.75" x14ac:dyDescent="0.25">
      <c r="B12" s="18" t="s">
        <v>580</v>
      </c>
      <c r="C12" s="19"/>
      <c r="D12" s="19"/>
      <c r="E12" s="19"/>
      <c r="F12" s="21">
        <v>30</v>
      </c>
      <c r="G12" s="174">
        <v>2017</v>
      </c>
    </row>
    <row r="13" spans="2:13" ht="16.5" thickBot="1" x14ac:dyDescent="0.3">
      <c r="B13" s="18" t="s">
        <v>581</v>
      </c>
      <c r="C13" s="19"/>
      <c r="D13" s="19"/>
      <c r="E13" s="19"/>
      <c r="F13" s="24">
        <f>(+G13*F7)+G13</f>
        <v>820304.1</v>
      </c>
      <c r="G13" s="96">
        <v>781242</v>
      </c>
      <c r="H13" s="430">
        <f>(+F13-G13)/G13</f>
        <v>4.9999999999999968E-2</v>
      </c>
      <c r="I13" s="148"/>
      <c r="M13" s="1108"/>
    </row>
    <row r="14" spans="2:13" ht="16.5" thickBot="1" x14ac:dyDescent="0.3">
      <c r="B14" s="22" t="s">
        <v>40</v>
      </c>
      <c r="C14" s="23"/>
      <c r="D14" s="23"/>
      <c r="E14" s="23"/>
      <c r="F14" s="24">
        <f>(G14*F7)+G14</f>
        <v>92621.55</v>
      </c>
      <c r="G14" s="96">
        <v>88211</v>
      </c>
      <c r="H14" s="430">
        <f>(+F14-G14)/G14</f>
        <v>5.0000000000000031E-2</v>
      </c>
      <c r="I14" s="148"/>
      <c r="M14" s="1108"/>
    </row>
    <row r="15" spans="2:13" ht="15.75" x14ac:dyDescent="0.25">
      <c r="B15" s="25"/>
      <c r="C15" s="25"/>
      <c r="D15" s="25"/>
      <c r="E15" s="25"/>
      <c r="F15" s="25"/>
    </row>
    <row r="16" spans="2:13" ht="15.75" x14ac:dyDescent="0.25">
      <c r="B16" s="25"/>
      <c r="C16" s="25"/>
      <c r="D16" s="25"/>
      <c r="E16" s="25"/>
      <c r="F16" s="25"/>
    </row>
    <row r="17" spans="2:10" ht="16.5" thickBot="1" x14ac:dyDescent="0.3">
      <c r="B17" s="25"/>
      <c r="C17" s="25"/>
      <c r="D17" s="25"/>
      <c r="E17" s="25"/>
      <c r="F17" s="25"/>
    </row>
    <row r="18" spans="2:10" ht="16.5" thickBot="1" x14ac:dyDescent="0.3">
      <c r="B18" s="26" t="s">
        <v>23</v>
      </c>
      <c r="C18" s="27"/>
      <c r="D18" s="27"/>
      <c r="E18" s="27"/>
      <c r="F18" s="28"/>
    </row>
    <row r="19" spans="2:10" ht="15.75" x14ac:dyDescent="0.25">
      <c r="B19" s="29" t="s">
        <v>582</v>
      </c>
      <c r="C19" s="30"/>
      <c r="D19" s="30"/>
      <c r="E19" s="30"/>
      <c r="F19" s="31">
        <v>0.12</v>
      </c>
      <c r="G19" s="158"/>
      <c r="H19" s="3"/>
      <c r="I19" s="473"/>
      <c r="J19" s="472"/>
    </row>
    <row r="20" spans="2:10" ht="16.5" thickBot="1" x14ac:dyDescent="0.3">
      <c r="B20" s="32" t="s">
        <v>9</v>
      </c>
      <c r="C20" s="33"/>
      <c r="D20" s="33"/>
      <c r="E20" s="33"/>
      <c r="F20" s="34">
        <v>8.5000000000000006E-2</v>
      </c>
      <c r="G20" s="158"/>
      <c r="H20" s="3"/>
      <c r="I20" s="473"/>
      <c r="J20" s="472"/>
    </row>
    <row r="21" spans="2:10" ht="15.75" x14ac:dyDescent="0.25">
      <c r="B21" s="35" t="s">
        <v>10</v>
      </c>
      <c r="C21" s="36"/>
      <c r="D21" s="36"/>
      <c r="E21" s="36"/>
      <c r="F21" s="37"/>
      <c r="G21" s="158"/>
      <c r="H21" s="3"/>
    </row>
    <row r="22" spans="2:10" ht="15.75" x14ac:dyDescent="0.25">
      <c r="B22" s="38" t="s">
        <v>24</v>
      </c>
      <c r="C22" s="39"/>
      <c r="D22" s="39"/>
      <c r="E22" s="39"/>
      <c r="F22" s="40">
        <v>5.2199999999999998E-3</v>
      </c>
      <c r="G22" s="158"/>
      <c r="H22" s="3"/>
    </row>
    <row r="23" spans="2:10" ht="16.5" thickBot="1" x14ac:dyDescent="0.3">
      <c r="B23" s="41" t="s">
        <v>25</v>
      </c>
      <c r="C23" s="42"/>
      <c r="D23" s="42"/>
      <c r="E23" s="42"/>
      <c r="F23" s="43">
        <v>1.044E-2</v>
      </c>
      <c r="G23" s="158"/>
      <c r="H23" s="3"/>
    </row>
    <row r="24" spans="2:10" ht="15.75" x14ac:dyDescent="0.25">
      <c r="B24" s="44" t="s">
        <v>11</v>
      </c>
      <c r="C24" s="45"/>
      <c r="D24" s="45"/>
      <c r="E24" s="45"/>
      <c r="F24" s="46">
        <v>0.04</v>
      </c>
      <c r="G24" s="158"/>
      <c r="H24" s="3"/>
    </row>
    <row r="25" spans="2:10" ht="15.75" x14ac:dyDescent="0.25">
      <c r="B25" s="47" t="s">
        <v>12</v>
      </c>
      <c r="C25" s="45"/>
      <c r="D25" s="45"/>
      <c r="E25" s="45"/>
      <c r="F25" s="46">
        <v>0.02</v>
      </c>
      <c r="G25" s="158"/>
      <c r="H25" s="3"/>
    </row>
    <row r="26" spans="2:10" ht="16.5" thickBot="1" x14ac:dyDescent="0.3">
      <c r="B26" s="48" t="s">
        <v>13</v>
      </c>
      <c r="C26" s="49"/>
      <c r="D26" s="49"/>
      <c r="E26" s="49"/>
      <c r="F26" s="50">
        <v>0.03</v>
      </c>
      <c r="G26" s="158"/>
      <c r="H26" s="3"/>
    </row>
    <row r="27" spans="2:10" ht="16.5" thickBot="1" x14ac:dyDescent="0.3">
      <c r="B27" s="25"/>
      <c r="C27" s="25"/>
      <c r="D27" s="25"/>
      <c r="E27" s="25"/>
      <c r="F27" s="12"/>
    </row>
    <row r="28" spans="2:10" ht="16.5" thickBot="1" x14ac:dyDescent="0.3">
      <c r="B28" s="55" t="s">
        <v>22</v>
      </c>
      <c r="C28" s="52"/>
      <c r="D28" s="52"/>
      <c r="E28" s="52"/>
      <c r="F28" s="53"/>
    </row>
    <row r="29" spans="2:10" ht="16.5" thickBot="1" x14ac:dyDescent="0.3">
      <c r="B29" s="51" t="s">
        <v>583</v>
      </c>
      <c r="C29" s="52"/>
      <c r="D29" s="52"/>
      <c r="E29" s="52"/>
      <c r="F29" s="54">
        <v>0.12</v>
      </c>
    </row>
    <row r="33" spans="2:5" x14ac:dyDescent="0.25">
      <c r="B33" s="98" t="s">
        <v>211</v>
      </c>
      <c r="C33" s="98" t="s">
        <v>175</v>
      </c>
    </row>
    <row r="34" spans="2:5" x14ac:dyDescent="0.25">
      <c r="B34" s="175" t="e">
        <f>+'FUNCIONAMIENTO '!B46+'FUNCIONAMIENTO '!E43+'RECAUDO '!E62+'SISTEMAS DE INF '!E32+ITPA!E52+'PROMOCION AL CONSUMO'!E26+AGROEXPO!F19</f>
        <v>#REF!</v>
      </c>
      <c r="C34" s="97" t="e">
        <f>+B34*4/1000</f>
        <v>#REF!</v>
      </c>
      <c r="D34" s="96" t="e">
        <f>+C34/12</f>
        <v>#REF!</v>
      </c>
      <c r="E34" s="147"/>
    </row>
    <row r="35" spans="2:5" x14ac:dyDescent="0.25">
      <c r="B35" s="175" t="e">
        <f>+B34*4/1000</f>
        <v>#REF!</v>
      </c>
      <c r="C35" s="93"/>
      <c r="D35" t="s">
        <v>176</v>
      </c>
    </row>
    <row r="37" spans="2:5" x14ac:dyDescent="0.25">
      <c r="D37" s="147" t="e">
        <f>+C34+D34</f>
        <v>#REF!</v>
      </c>
    </row>
  </sheetData>
  <mergeCells count="3">
    <mergeCell ref="B1:F1"/>
    <mergeCell ref="B2:F2"/>
    <mergeCell ref="B3:F3"/>
  </mergeCells>
  <pageMargins left="0.70866141732283472" right="0.70866141732283472" top="0.74803149606299213" bottom="0.74803149606299213" header="0.31496062992125984" footer="0.31496062992125984"/>
  <pageSetup scale="7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APROP 2019</vt:lpstr>
      <vt:lpstr>CONSOLIDADO ANEXO 2 </vt:lpstr>
      <vt:lpstr>INGRESOS Pendiente x cierre año</vt:lpstr>
      <vt:lpstr>PROYECCIÓN 2018</vt:lpstr>
      <vt:lpstr>INGRESOS RECAUDO 2019</vt:lpstr>
      <vt:lpstr>INGRESOS SUPUESTOS Recaudo </vt:lpstr>
      <vt:lpstr>INGRESOS intereses finan </vt:lpstr>
      <vt:lpstr>INGRESOS Intereses Mora</vt:lpstr>
      <vt:lpstr>Supuestos Gastos </vt:lpstr>
      <vt:lpstr>Nomina 2019 PLANTA</vt:lpstr>
      <vt:lpstr>PRESTACION DE SERVICIOS</vt:lpstr>
      <vt:lpstr>FUNCIONAMIENTO </vt:lpstr>
      <vt:lpstr>RECAUDO </vt:lpstr>
      <vt:lpstr>SISTEMAS DE INF </vt:lpstr>
      <vt:lpstr>ITPA</vt:lpstr>
      <vt:lpstr>PROTOTIPO</vt:lpstr>
      <vt:lpstr>PROMOCION AL CONSUMO</vt:lpstr>
      <vt:lpstr>AGROEXPO</vt:lpstr>
      <vt:lpstr>PLAN DE COMPRAS</vt:lpstr>
      <vt:lpstr>ASOCIATIVIDAD</vt:lpstr>
      <vt:lpstr>Hoja1</vt:lpstr>
      <vt:lpstr>'APROP 2019'!Área_de_impresión</vt:lpstr>
      <vt:lpstr>ASOCIATIVIDAD!Área_de_impresión</vt:lpstr>
      <vt:lpstr>'INGRESOS Intereses Mora'!Área_de_impresión</vt:lpstr>
      <vt:lpstr>'PROYECCIÓN 2018'!Área_de_impresión</vt:lpstr>
      <vt:lpstr>'APROP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CONTROL PRESUPUESTAL</cp:lastModifiedBy>
  <cp:lastPrinted>2019-01-16T18:03:50Z</cp:lastPrinted>
  <dcterms:created xsi:type="dcterms:W3CDTF">2015-08-20T16:35:16Z</dcterms:created>
  <dcterms:modified xsi:type="dcterms:W3CDTF">2020-05-29T19:06:41Z</dcterms:modified>
</cp:coreProperties>
</file>